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 activeTab="1"/>
  </bookViews>
  <sheets>
    <sheet name="紹介文入力シート" sheetId="1" r:id="rId1"/>
    <sheet name="印字シート" sheetId="2" r:id="rId2"/>
    <sheet name="バック" sheetId="3" r:id="rId3"/>
  </sheets>
  <definedNames>
    <definedName name="_xlnm.Print_Area" localSheetId="1">印字シート!$B$1:$U$33</definedName>
    <definedName name="_xlnm.Print_Area" localSheetId="0">紹介文入力シート!$A$1:$AJ$36</definedName>
  </definedNames>
  <calcPr calcId="145621" concurrentCalc="0"/>
</workbook>
</file>

<file path=xl/calcChain.xml><?xml version="1.0" encoding="utf-8"?>
<calcChain xmlns="http://schemas.openxmlformats.org/spreadsheetml/2006/main">
  <c r="U32" i="3" l="1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L8" i="3"/>
  <c r="D8" i="3"/>
  <c r="D7" i="3"/>
  <c r="D6" i="3"/>
  <c r="N5" i="3"/>
  <c r="D5" i="3"/>
  <c r="M4" i="3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5" i="2"/>
  <c r="L8" i="2"/>
  <c r="D8" i="2"/>
  <c r="D7" i="2"/>
  <c r="D6" i="2"/>
  <c r="D5" i="2"/>
  <c r="M4" i="2"/>
  <c r="AF16" i="1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T24" i="2"/>
  <c r="U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<sst xmlns="http://schemas.openxmlformats.org/spreadsheetml/2006/main" count="61" uniqueCount="46">
  <si>
    <t>字数→</t>
    <rPh sb="0" eb="2">
      <t>じすう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</si>
  <si>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</si>
  <si>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</si>
  <si>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</si>
  <si>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</si>
  <si>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</si>
  <si>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</si>
  <si>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</si>
  <si>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</si>
  <si>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</si>
  <si>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</si>
  <si>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</si>
  <si>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</si>
  <si>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</si>
  <si>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</si>
  <si>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</si>
  <si>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</si>
  <si>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</si>
  <si>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－</t>
    <phoneticPr fontId="15"/>
  </si>
  <si>
    <t>引率責任者</t>
    <rPh sb="0" eb="2">
      <t>インソツ</t>
    </rPh>
    <rPh sb="2" eb="5">
      <t>セキニンシャ</t>
    </rPh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</si>
  <si>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</si>
  <si>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</si>
  <si>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</si>
  <si>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</si>
  <si>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</si>
  <si>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</si>
  <si>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</si>
  <si>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</si>
  <si>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</si>
  <si>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</si>
  <si>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</si>
  <si>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</si>
  <si>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↓200字程度で</t>
    <rPh sb="4" eb="5">
      <t>じ</t>
    </rPh>
    <rPh sb="5" eb="7">
      <t>ていど</t>
    </rPh>
    <phoneticPr fontId="1" type="Hiragana" alignment="distributed"/>
  </si>
  <si>
    <t>記載責任者</t>
    <rPh sb="0" eb="2">
      <t>キサイ</t>
    </rPh>
    <rPh sb="2" eb="5">
      <t>セキニンシャ</t>
    </rPh>
    <phoneticPr fontId="15"/>
  </si>
  <si>
    <t>200字</t>
    <rPh sb="3" eb="4">
      <t>ジ</t>
    </rPh>
    <phoneticPr fontId="1"/>
  </si>
  <si>
    <t>吹奏楽部門学校・団体紹介文</t>
    <rPh sb="0" eb="3">
      <t>スイソウガク</t>
    </rPh>
    <rPh sb="3" eb="5">
      <t>ブモン</t>
    </rPh>
    <rPh sb="5" eb="7">
      <t>ガッコウ</t>
    </rPh>
    <rPh sb="8" eb="10">
      <t>ダンタイ</t>
    </rPh>
    <rPh sb="10" eb="12">
      <t>ショウカイ</t>
    </rPh>
    <rPh sb="12" eb="13">
      <t>ブン</t>
    </rPh>
    <phoneticPr fontId="1"/>
  </si>
  <si>
    <t>２　印字シートに移り、固有名詞にふりがなを入力してください。</t>
    <rPh sb="2" eb="4">
      <t>いんじ</t>
    </rPh>
    <rPh sb="8" eb="9">
      <t>うつ</t>
    </rPh>
    <rPh sb="11" eb="13">
      <t>こゆう</t>
    </rPh>
    <rPh sb="13" eb="15">
      <t>めいし</t>
    </rPh>
    <rPh sb="21" eb="23">
      <t>にゅうりょく</t>
    </rPh>
    <phoneticPr fontId="1" type="Hiragana" alignment="distributed"/>
  </si>
  <si>
    <t>３　紹介文は１ステージにつき１枚とします。印刷して提出してください。</t>
    <rPh sb="2" eb="5">
      <t>しょうかいぶん</t>
    </rPh>
    <rPh sb="15" eb="16">
      <t>まい</t>
    </rPh>
    <rPh sb="21" eb="23">
      <t>いんさつ</t>
    </rPh>
    <rPh sb="25" eb="27">
      <t>ていしゅつ</t>
    </rPh>
    <phoneticPr fontId="1" type="Hiragana" alignment="distributed"/>
  </si>
  <si>
    <t>学校・団体紹介文</t>
    <rPh sb="0" eb="2">
      <t>ガッコウ</t>
    </rPh>
    <rPh sb="3" eb="5">
      <t>ダンタイ</t>
    </rPh>
    <rPh sb="5" eb="8">
      <t>ショウカイブン</t>
    </rPh>
    <phoneticPr fontId="1"/>
  </si>
  <si>
    <t>（様式３）</t>
    <rPh sb="1" eb="3">
      <t>ようしき</t>
    </rPh>
    <phoneticPr fontId="1" type="Hiragana" alignment="distributed"/>
  </si>
  <si>
    <t>（様式３）</t>
    <rPh sb="1" eb="3">
      <t>ヨウシキ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</si>
  <si>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</si>
  <si>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第３７回近畿高等学校総合文化祭(大阪大会)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おおさか</t>
    </rPh>
    <rPh sb="18" eb="20">
      <t>たいかい</t>
    </rPh>
    <phoneticPr fontId="1" type="Hiragana" alignment="distributed"/>
  </si>
  <si>
    <t>第３７回近畿高等学校総合文化祭大阪大会</t>
    <rPh sb="15" eb="17">
      <t>オオサカ</t>
    </rPh>
    <phoneticPr fontId="1"/>
  </si>
  <si>
    <t>マーチングバンド・バトントワーリング部門 学校・団体紹介文</t>
    <rPh sb="18" eb="20">
      <t>ブモン</t>
    </rPh>
    <rPh sb="21" eb="23">
      <t>ガッコウ</t>
    </rPh>
    <rPh sb="24" eb="26">
      <t>ダンタイ</t>
    </rPh>
    <rPh sb="26" eb="28">
      <t>ショウカイ</t>
    </rPh>
    <rPh sb="28" eb="29">
      <t>ブン</t>
    </rPh>
    <phoneticPr fontId="1"/>
  </si>
  <si>
    <t>マーチングバンド・バトントワーリング部門　学校・団体紹介文</t>
    <rPh sb="18" eb="20">
      <t>ぶもん</t>
    </rPh>
    <rPh sb="21" eb="23">
      <t>がっこう</t>
    </rPh>
    <rPh sb="24" eb="26">
      <t>だんたい</t>
    </rPh>
    <rPh sb="26" eb="28">
      <t>しょうかい</t>
    </rPh>
    <rPh sb="28" eb="29">
      <t>ぶん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</si>
</sst>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4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6" fillId="2" borderId="24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left" vertical="center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49" fontId="16" fillId="2" borderId="49" xfId="0" applyNumberFormat="1" applyFont="1" applyFill="1" applyBorder="1" applyAlignment="1">
      <alignment horizontal="left" vertical="center"/>
    </xf>
    <xf numFmtId="49" fontId="16" fillId="2" borderId="30" xfId="0" applyNumberFormat="1" applyFont="1" applyFill="1" applyBorder="1" applyAlignment="1">
      <alignment horizontal="left" vertical="center"/>
    </xf>
    <xf numFmtId="49" fontId="16" fillId="2" borderId="16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4" fillId="2" borderId="31" xfId="0" applyNumberFormat="1" applyFont="1" applyFill="1" applyBorder="1" applyAlignment="1">
      <alignment horizontal="center" vertical="center"/>
    </xf>
    <xf numFmtId="49" fontId="14" fillId="2" borderId="29" xfId="0" applyNumberFormat="1" applyFont="1" applyFill="1" applyBorder="1" applyAlignment="1">
      <alignment horizontal="center" vertical="center"/>
    </xf>
    <xf numFmtId="49" fontId="14" fillId="2" borderId="37" xfId="0" applyNumberFormat="1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left" vertical="center" shrinkToFit="1"/>
    </xf>
    <xf numFmtId="49" fontId="14" fillId="2" borderId="39" xfId="0" applyNumberFormat="1" applyFont="1" applyFill="1" applyBorder="1" applyAlignment="1">
      <alignment horizontal="left" vertical="center" shrinkToFit="1"/>
    </xf>
    <xf numFmtId="49" fontId="16" fillId="2" borderId="19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49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5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left" vertical="center"/>
    </xf>
    <xf numFmtId="49" fontId="14" fillId="2" borderId="27" xfId="0" applyNumberFormat="1" applyFont="1" applyFill="1" applyBorder="1" applyAlignment="1">
      <alignment horizontal="left" vertical="center"/>
    </xf>
    <xf numFmtId="49" fontId="14" fillId="2" borderId="28" xfId="0" applyNumberFormat="1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14" fillId="2" borderId="40" xfId="0" applyNumberFormat="1" applyFont="1" applyFill="1" applyBorder="1" applyAlignment="1">
      <alignment horizontal="left" vertical="center" shrinkToFit="1"/>
    </xf>
    <xf numFmtId="0" fontId="14" fillId="2" borderId="41" xfId="0" applyNumberFormat="1" applyFont="1" applyFill="1" applyBorder="1" applyAlignment="1">
      <alignment horizontal="left" vertical="center" shrinkToFit="1"/>
    </xf>
    <xf numFmtId="0" fontId="14" fillId="2" borderId="42" xfId="0" applyNumberFormat="1" applyFont="1" applyFill="1" applyBorder="1" applyAlignment="1">
      <alignment horizontal="left" vertical="center" shrinkToFit="1"/>
    </xf>
    <xf numFmtId="49" fontId="9" fillId="2" borderId="20" xfId="0" applyNumberFormat="1" applyFont="1" applyFill="1" applyBorder="1" applyAlignment="1">
      <alignment horizontal="left" vertical="center"/>
    </xf>
    <xf numFmtId="0" fontId="9" fillId="2" borderId="20" xfId="0" applyNumberFormat="1" applyFont="1" applyFill="1" applyBorder="1" applyAlignment="1">
      <alignment horizontal="left" vertical="center"/>
    </xf>
    <xf numFmtId="0" fontId="7" fillId="2" borderId="33" xfId="0" applyNumberFormat="1" applyFont="1" applyFill="1" applyBorder="1" applyAlignment="1">
      <alignment horizontal="left" vertical="center"/>
    </xf>
    <xf numFmtId="0" fontId="7" fillId="2" borderId="34" xfId="0" applyNumberFormat="1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>
      <alignment horizontal="left" vertical="center"/>
    </xf>
    <xf numFmtId="0" fontId="7" fillId="2" borderId="36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29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left" vertical="center"/>
    </xf>
    <xf numFmtId="49" fontId="14" fillId="2" borderId="33" xfId="0" applyNumberFormat="1" applyFont="1" applyFill="1" applyBorder="1" applyAlignment="1">
      <alignment horizontal="left" vertical="center"/>
    </xf>
    <xf numFmtId="0" fontId="14" fillId="2" borderId="33" xfId="0" applyNumberFormat="1" applyFont="1" applyFill="1" applyBorder="1" applyAlignment="1">
      <alignment horizontal="left" vertical="center"/>
    </xf>
    <xf numFmtId="0" fontId="14" fillId="2" borderId="34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 indent="12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view="pageBreakPreview" zoomScaleNormal="100" zoomScaleSheetLayoutView="100" workbookViewId="0">
      <selection activeCell="A3" sqref="A3:N4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47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7" ht="15" customHeight="1" x14ac:dyDescent="0.15">
      <c r="A2" s="51" t="s">
        <v>42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  <c r="R2" s="1"/>
      <c r="S2" s="1" t="s">
        <v>22</v>
      </c>
      <c r="T2" s="77"/>
      <c r="U2" s="77"/>
      <c r="V2" s="77"/>
      <c r="W2" s="1" t="s">
        <v>23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90" t="s">
        <v>45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"/>
      <c r="P3" s="1"/>
      <c r="Q3" s="1"/>
      <c r="R3" s="1"/>
      <c r="S3" s="1" t="s">
        <v>30</v>
      </c>
      <c r="T3" s="1" t="s">
        <v>31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83" t="s">
        <v>15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7"/>
      <c r="P6" s="89" t="s">
        <v>20</v>
      </c>
      <c r="Q6" s="89"/>
      <c r="R6" s="89"/>
      <c r="S6" s="89"/>
      <c r="T6" s="89"/>
      <c r="U6" s="89"/>
      <c r="V6" s="89"/>
      <c r="W6" s="89"/>
      <c r="X6" s="89"/>
      <c r="Y6" s="8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4</v>
      </c>
    </row>
    <row r="7" spans="1:37" ht="15" customHeight="1" thickBot="1" x14ac:dyDescent="0.2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8"/>
      <c r="P7" s="34"/>
      <c r="Q7" s="34"/>
      <c r="R7" s="34"/>
      <c r="S7" s="34"/>
      <c r="T7" s="3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9" t="s">
        <v>5</v>
      </c>
    </row>
    <row r="8" spans="1:37" ht="15" customHeight="1" x14ac:dyDescent="0.15">
      <c r="A8" s="93" t="s">
        <v>16</v>
      </c>
      <c r="B8" s="94"/>
      <c r="C8" s="94"/>
      <c r="D8" s="94"/>
      <c r="E8" s="94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  <c r="U8" s="104" t="s">
        <v>21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"/>
      <c r="AK8" s="19" t="s">
        <v>6</v>
      </c>
    </row>
    <row r="9" spans="1:37" ht="15" customHeight="1" x14ac:dyDescent="0.15">
      <c r="A9" s="54" t="s">
        <v>17</v>
      </c>
      <c r="B9" s="55"/>
      <c r="C9" s="55"/>
      <c r="D9" s="55"/>
      <c r="E9" s="55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0"/>
      <c r="AJ9" s="1"/>
      <c r="AK9" s="19" t="s">
        <v>7</v>
      </c>
    </row>
    <row r="10" spans="1:37" ht="15" customHeight="1" thickBot="1" x14ac:dyDescent="0.2">
      <c r="A10" s="56"/>
      <c r="B10" s="57"/>
      <c r="C10" s="57"/>
      <c r="D10" s="57"/>
      <c r="E10" s="57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J10" s="1"/>
      <c r="AK10" s="19" t="s">
        <v>8</v>
      </c>
    </row>
    <row r="11" spans="1:37" ht="15" customHeight="1" x14ac:dyDescent="0.15">
      <c r="A11" s="107" t="s">
        <v>16</v>
      </c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1"/>
      <c r="U11" s="41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1"/>
      <c r="AK11" s="19" t="s">
        <v>9</v>
      </c>
    </row>
    <row r="12" spans="1:37" ht="15" customHeight="1" x14ac:dyDescent="0.15">
      <c r="A12" s="54" t="s">
        <v>33</v>
      </c>
      <c r="B12" s="55"/>
      <c r="C12" s="55"/>
      <c r="D12" s="55"/>
      <c r="E12" s="55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4"/>
      <c r="U12" s="4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1"/>
      <c r="AK12" s="19" t="s">
        <v>10</v>
      </c>
    </row>
    <row r="13" spans="1:37" ht="15" customHeight="1" thickBot="1" x14ac:dyDescent="0.2">
      <c r="A13" s="60"/>
      <c r="B13" s="61"/>
      <c r="C13" s="61"/>
      <c r="D13" s="61"/>
      <c r="E13" s="61"/>
      <c r="F13" s="65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  <c r="U13" s="4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"/>
      <c r="AK13" s="19" t="s">
        <v>11</v>
      </c>
    </row>
    <row r="14" spans="1:37" ht="12" customHeight="1" x14ac:dyDescent="0.15">
      <c r="A14" s="1"/>
      <c r="B14" s="1"/>
      <c r="C14" s="1"/>
      <c r="D14" s="1"/>
      <c r="E14" s="1"/>
      <c r="F14" s="1"/>
      <c r="G14" s="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"/>
      <c r="S14" s="1"/>
      <c r="T14" s="1"/>
      <c r="U14" s="1"/>
      <c r="V14" s="1"/>
      <c r="W14" s="1"/>
      <c r="X14" s="1"/>
      <c r="Y14" s="1"/>
      <c r="Z14" s="2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9" t="s">
        <v>12</v>
      </c>
    </row>
    <row r="15" spans="1:37" ht="1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81"/>
      <c r="V15" s="81"/>
      <c r="W15" s="81"/>
      <c r="X15" s="81"/>
      <c r="Y15" s="1"/>
      <c r="Z15" s="20"/>
      <c r="AA15" s="1"/>
      <c r="AB15" s="1"/>
      <c r="AC15" s="82" t="s">
        <v>32</v>
      </c>
      <c r="AD15" s="82"/>
      <c r="AE15" s="82"/>
      <c r="AF15" s="82"/>
      <c r="AG15" s="82"/>
      <c r="AH15" s="82"/>
      <c r="AI15" s="82"/>
      <c r="AJ15" s="1"/>
      <c r="AK15" s="19" t="s">
        <v>13</v>
      </c>
    </row>
    <row r="16" spans="1:37" ht="15" customHeight="1" thickBot="1" x14ac:dyDescent="0.2">
      <c r="A16" s="2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92"/>
      <c r="T16" s="92"/>
      <c r="U16" s="91"/>
      <c r="V16" s="91"/>
      <c r="W16" s="91"/>
      <c r="X16" s="91"/>
      <c r="Y16" s="2"/>
      <c r="Z16" s="20"/>
      <c r="AA16" s="1"/>
      <c r="AB16" s="1"/>
      <c r="AC16" s="80" t="s">
        <v>0</v>
      </c>
      <c r="AD16" s="81"/>
      <c r="AE16" s="81"/>
      <c r="AF16" s="78">
        <f>LEN(SUBSTITUTE(A17,CHAR(10),""))</f>
        <v>0</v>
      </c>
      <c r="AG16" s="78"/>
      <c r="AH16" s="78"/>
      <c r="AI16" s="79"/>
      <c r="AJ16" s="1"/>
    </row>
    <row r="17" spans="1:36" ht="15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  <c r="AJ17" s="1"/>
    </row>
    <row r="18" spans="1:36" ht="15" customHeight="1" x14ac:dyDescent="0.15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3"/>
      <c r="AJ18" s="1"/>
    </row>
    <row r="19" spans="1:36" ht="15" customHeight="1" x14ac:dyDescent="0.15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3"/>
      <c r="AJ19" s="1"/>
    </row>
    <row r="20" spans="1:36" ht="1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1"/>
    </row>
    <row r="21" spans="1:36" ht="1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1"/>
    </row>
    <row r="22" spans="1:36" ht="1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1"/>
    </row>
    <row r="23" spans="1:36" ht="15" customHeight="1" x14ac:dyDescent="0.15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1"/>
    </row>
    <row r="24" spans="1:36" ht="15" customHeight="1" x14ac:dyDescent="0.1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3"/>
      <c r="AJ24" s="1"/>
    </row>
    <row r="25" spans="1:36" ht="15" customHeight="1" x14ac:dyDescent="0.1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  <c r="AJ25" s="1"/>
    </row>
    <row r="26" spans="1:36" ht="15" customHeight="1" x14ac:dyDescent="0.1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3"/>
      <c r="AJ26" s="1"/>
    </row>
    <row r="27" spans="1:36" ht="15" customHeight="1" x14ac:dyDescent="0.1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  <c r="AJ27" s="1"/>
    </row>
    <row r="28" spans="1:36" ht="15" customHeight="1" x14ac:dyDescent="0.1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3"/>
      <c r="AJ28" s="1"/>
    </row>
    <row r="29" spans="1:36" ht="15" customHeight="1" x14ac:dyDescent="0.1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3"/>
      <c r="AJ29" s="1"/>
    </row>
    <row r="30" spans="1:36" ht="15" customHeight="1" x14ac:dyDescent="0.15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J30" s="1"/>
    </row>
    <row r="31" spans="1:36" ht="15" customHeight="1" x14ac:dyDescent="0.15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1"/>
    </row>
    <row r="32" spans="1:36" ht="15" customHeight="1" thickBot="1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1"/>
    </row>
    <row r="33" spans="1:36" ht="15" customHeight="1" x14ac:dyDescent="0.15">
      <c r="A33" s="53" t="s">
        <v>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" customHeight="1" x14ac:dyDescent="0.15">
      <c r="A34" s="52" t="s">
        <v>29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" customHeight="1" x14ac:dyDescent="0.15">
      <c r="A35" s="52" t="s">
        <v>36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" t="s">
        <v>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9" spans="1:36" x14ac:dyDescent="0.15"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</sheetData>
  <mergeCells count="26">
    <mergeCell ref="A3:N4"/>
    <mergeCell ref="U16:X16"/>
    <mergeCell ref="S16:T16"/>
    <mergeCell ref="U15:X15"/>
    <mergeCell ref="A8:E8"/>
    <mergeCell ref="F8:T8"/>
    <mergeCell ref="U9:AI10"/>
    <mergeCell ref="U8:AI8"/>
    <mergeCell ref="A11:E11"/>
    <mergeCell ref="F11:T11"/>
    <mergeCell ref="A2:O2"/>
    <mergeCell ref="A34:X34"/>
    <mergeCell ref="A35:X35"/>
    <mergeCell ref="A33:X33"/>
    <mergeCell ref="A9:E10"/>
    <mergeCell ref="F9:T10"/>
    <mergeCell ref="A12:E13"/>
    <mergeCell ref="F12:T13"/>
    <mergeCell ref="A17:AI32"/>
    <mergeCell ref="T2:V2"/>
    <mergeCell ref="AF16:AI16"/>
    <mergeCell ref="AC16:AE16"/>
    <mergeCell ref="AC15:AI15"/>
    <mergeCell ref="A6:E7"/>
    <mergeCell ref="F6:O7"/>
    <mergeCell ref="P6:Y6"/>
  </mergeCells>
  <phoneticPr fontId="1" type="Hiragana" alignment="distributed"/>
  <conditionalFormatting sqref="F6:O7">
    <cfRule type="cellIs" dxfId="6" priority="6" stopIfTrue="1" operator="equal">
      <formula>""</formula>
    </cfRule>
  </conditionalFormatting>
  <conditionalFormatting sqref="F9:T10">
    <cfRule type="cellIs" dxfId="5" priority="4" operator="equal">
      <formula>""</formula>
    </cfRule>
  </conditionalFormatting>
  <conditionalFormatting sqref="F8:T8">
    <cfRule type="cellIs" dxfId="4" priority="3" stopIfTrue="1" operator="equal">
      <formula>""</formula>
    </cfRule>
  </conditionalFormatting>
  <conditionalFormatting sqref="F6:Y6 F7:O7 F8:AI10 F11:T13">
    <cfRule type="cellIs" dxfId="3" priority="2" stopIfTrue="1" operator="equal">
      <formula>""</formula>
    </cfRule>
  </conditionalFormatting>
  <conditionalFormatting sqref="A17:AI32">
    <cfRule type="cellIs" dxfId="2" priority="1" stopIfTrue="1" operator="equal">
      <formula>""</formula>
    </cfRule>
  </conditionalFormatting>
  <dataValidations count="1"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3"/>
  <sheetViews>
    <sheetView tabSelected="1" zoomScaleNormal="100" workbookViewId="0">
      <selection activeCell="B2" sqref="B2:U2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6" style="8" customWidth="1"/>
    <col min="23" max="23" width="16" style="8" customWidth="1"/>
    <col min="24" max="16384" width="9" style="8"/>
  </cols>
  <sheetData>
    <row r="1" spans="2:37" ht="14.25" x14ac:dyDescent="0.15">
      <c r="B1" s="50" t="s">
        <v>40</v>
      </c>
      <c r="C1" s="50"/>
      <c r="D1" s="142" t="s">
        <v>41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50"/>
    </row>
    <row r="2" spans="2:37" ht="30" customHeight="1" x14ac:dyDescent="0.15">
      <c r="B2" s="142" t="s">
        <v>44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2:37" ht="14.25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7" t="s">
        <v>25</v>
      </c>
      <c r="S3" s="9"/>
      <c r="T3" s="9"/>
      <c r="U3" s="9"/>
    </row>
    <row r="4" spans="2:37" ht="30" customHeight="1" thickBot="1" x14ac:dyDescent="0.2">
      <c r="B4" s="129"/>
      <c r="C4" s="129"/>
      <c r="D4" s="130"/>
      <c r="E4" s="130"/>
      <c r="F4" s="130"/>
      <c r="G4" s="32"/>
      <c r="H4" s="32"/>
      <c r="I4" s="32"/>
      <c r="J4" s="33"/>
      <c r="K4" s="145" t="s">
        <v>1</v>
      </c>
      <c r="L4" s="144"/>
      <c r="M4" s="144">
        <f>紹介文入力シート!F6</f>
        <v>0</v>
      </c>
      <c r="N4" s="144"/>
      <c r="O4" s="144"/>
      <c r="P4" s="143" t="s">
        <v>14</v>
      </c>
      <c r="Q4" s="143"/>
      <c r="R4" s="114"/>
      <c r="S4" s="114"/>
      <c r="T4" s="115"/>
      <c r="U4" s="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15" customHeight="1" x14ac:dyDescent="0.15">
      <c r="B5" s="112" t="s">
        <v>26</v>
      </c>
      <c r="C5" s="113"/>
      <c r="D5" s="120">
        <f>紹介文入力シート!F8</f>
        <v>0</v>
      </c>
      <c r="E5" s="121"/>
      <c r="F5" s="121"/>
      <c r="G5" s="121"/>
      <c r="H5" s="121"/>
      <c r="I5" s="121"/>
      <c r="J5" s="121"/>
      <c r="K5" s="122"/>
      <c r="L5" s="118" t="s">
        <v>28</v>
      </c>
      <c r="M5" s="118"/>
      <c r="N5" s="125" t="str">
        <f>IF(紹介文入力シート!U9="","",紹介文入力シート!U9)</f>
        <v/>
      </c>
      <c r="O5" s="125"/>
      <c r="P5" s="125"/>
      <c r="Q5" s="125"/>
      <c r="R5" s="125"/>
      <c r="S5" s="125"/>
      <c r="T5" s="126"/>
      <c r="U5" s="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27" customHeight="1" thickBot="1" x14ac:dyDescent="0.2">
      <c r="B6" s="116" t="s">
        <v>27</v>
      </c>
      <c r="C6" s="117"/>
      <c r="D6" s="123">
        <f>紹介文入力シート!F9</f>
        <v>0</v>
      </c>
      <c r="E6" s="124"/>
      <c r="F6" s="124"/>
      <c r="G6" s="124"/>
      <c r="H6" s="124"/>
      <c r="I6" s="124"/>
      <c r="J6" s="124"/>
      <c r="K6" s="124"/>
      <c r="L6" s="119"/>
      <c r="M6" s="119"/>
      <c r="N6" s="127"/>
      <c r="O6" s="127"/>
      <c r="P6" s="127"/>
      <c r="Q6" s="127"/>
      <c r="R6" s="127"/>
      <c r="S6" s="127"/>
      <c r="T6" s="128"/>
      <c r="U6" s="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2:37" ht="17.25" customHeight="1" x14ac:dyDescent="0.15">
      <c r="B7" s="136" t="s">
        <v>16</v>
      </c>
      <c r="C7" s="137"/>
      <c r="D7" s="139">
        <f>紹介文入力シート!F11</f>
        <v>0</v>
      </c>
      <c r="E7" s="140"/>
      <c r="F7" s="140"/>
      <c r="G7" s="140"/>
      <c r="H7" s="140"/>
      <c r="I7" s="140"/>
      <c r="J7" s="140"/>
      <c r="K7" s="141"/>
      <c r="L7" s="138"/>
      <c r="M7" s="138"/>
      <c r="N7" s="138"/>
      <c r="O7" s="138"/>
      <c r="P7" s="138"/>
      <c r="Q7" s="138"/>
      <c r="R7" s="138"/>
      <c r="S7" s="138"/>
      <c r="T7" s="138"/>
      <c r="U7" s="22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28"/>
    </row>
    <row r="8" spans="2:37" ht="33.75" customHeight="1" thickBot="1" x14ac:dyDescent="0.2">
      <c r="B8" s="60" t="s">
        <v>19</v>
      </c>
      <c r="C8" s="61"/>
      <c r="D8" s="131">
        <f>紹介文入力シート!F12</f>
        <v>0</v>
      </c>
      <c r="E8" s="131"/>
      <c r="F8" s="131"/>
      <c r="G8" s="131"/>
      <c r="H8" s="131"/>
      <c r="I8" s="131"/>
      <c r="J8" s="131"/>
      <c r="K8" s="132"/>
      <c r="L8" s="133" t="str">
        <f>CONCATENATE(紹介文入力シート!V12,紹介文入力シート!Z12,紹介文入力シート!AA12,紹介文入力シート!AE12,紹介文入力シート!AF12)</f>
        <v/>
      </c>
      <c r="M8" s="134"/>
      <c r="N8" s="134"/>
      <c r="O8" s="134"/>
      <c r="P8" s="134"/>
      <c r="Q8" s="134"/>
      <c r="R8" s="134"/>
      <c r="S8" s="134"/>
      <c r="T8" s="135"/>
      <c r="U8" s="22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 t="s">
        <v>18</v>
      </c>
      <c r="AG8" s="30" t="s">
        <v>24</v>
      </c>
      <c r="AH8" s="30"/>
      <c r="AI8" s="30"/>
      <c r="AJ8" s="30"/>
      <c r="AK8" s="28"/>
    </row>
    <row r="9" spans="2:37" s="17" customFormat="1" ht="9.75" customHeight="1" x14ac:dyDescent="0.15">
      <c r="B9" s="23"/>
      <c r="C9" s="23"/>
      <c r="D9" s="24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6"/>
      <c r="S9" s="26"/>
      <c r="T9" s="9"/>
      <c r="U9" s="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s="17" customFormat="1" ht="14.25" thickBot="1" x14ac:dyDescent="0.2">
      <c r="B10" s="9" t="s">
        <v>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7" ht="1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7"/>
      <c r="W11" s="18" t="s">
        <v>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7" s="17" customFormat="1" ht="30" customHeight="1" x14ac:dyDescent="0.15">
      <c r="B12" s="35" t="str">
        <f>MID(紹介文入力シート!$A$17,1,1)</f>
        <v/>
      </c>
      <c r="C12" s="36" t="str">
        <f>MID(紹介文入力シート!$A$17,2,1)</f>
        <v/>
      </c>
      <c r="D12" s="36" t="str">
        <f>MID(紹介文入力シート!$A$17,3,1)</f>
        <v/>
      </c>
      <c r="E12" s="36" t="str">
        <f>MID(紹介文入力シート!$A$17,4,1)</f>
        <v/>
      </c>
      <c r="F12" s="36" t="str">
        <f>MID(紹介文入力シート!$A$17,5,1)</f>
        <v/>
      </c>
      <c r="G12" s="36" t="str">
        <f>MID(紹介文入力シート!$A$17,6,1)</f>
        <v/>
      </c>
      <c r="H12" s="36" t="str">
        <f>MID(紹介文入力シート!$A$17,7,1)</f>
        <v/>
      </c>
      <c r="I12" s="36" t="str">
        <f>MID(紹介文入力シート!$A$17,8,1)</f>
        <v/>
      </c>
      <c r="J12" s="36" t="str">
        <f>MID(紹介文入力シート!$A$17,9,1)</f>
        <v/>
      </c>
      <c r="K12" s="36" t="str">
        <f>MID(紹介文入力シート!$A$17,10,1)</f>
        <v/>
      </c>
      <c r="L12" s="36" t="str">
        <f>MID(紹介文入力シート!$A$17,11,1)</f>
        <v/>
      </c>
      <c r="M12" s="36" t="str">
        <f>MID(紹介文入力シート!$A$17,12,1)</f>
        <v/>
      </c>
      <c r="N12" s="36" t="str">
        <f>MID(紹介文入力シート!$A$17,13,1)</f>
        <v/>
      </c>
      <c r="O12" s="36" t="str">
        <f>MID(紹介文入力シート!$A$17,14,1)</f>
        <v/>
      </c>
      <c r="P12" s="36" t="str">
        <f>MID(紹介文入力シート!$A$17,15,1)</f>
        <v/>
      </c>
      <c r="Q12" s="36" t="str">
        <f>MID(紹介文入力シート!$A$17,16,1)</f>
        <v/>
      </c>
      <c r="R12" s="36" t="str">
        <f>MID(紹介文入力シート!$A$17,17,1)</f>
        <v/>
      </c>
      <c r="S12" s="36" t="str">
        <f>MID(紹介文入力シート!$A$17,18,1)</f>
        <v/>
      </c>
      <c r="T12" s="36" t="str">
        <f>MID(紹介文入力シート!$A$17,19,1)</f>
        <v/>
      </c>
      <c r="U12" s="37" t="str">
        <f>MID(紹介文入力シート!$A$17,20,1)</f>
        <v/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2:37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7" s="17" customFormat="1" ht="30" customHeight="1" x14ac:dyDescent="0.15">
      <c r="B14" s="35" t="str">
        <f>MID(紹介文入力シート!$A$17,21,1)</f>
        <v/>
      </c>
      <c r="C14" s="36" t="str">
        <f>MID(紹介文入力シート!$A$17,22,1)</f>
        <v/>
      </c>
      <c r="D14" s="36" t="str">
        <f>MID(紹介文入力シート!$A$17,23,1)</f>
        <v/>
      </c>
      <c r="E14" s="36" t="str">
        <f>MID(紹介文入力シート!$A$17,24,1)</f>
        <v/>
      </c>
      <c r="F14" s="36" t="str">
        <f>MID(紹介文入力シート!$A$17,25,1)</f>
        <v/>
      </c>
      <c r="G14" s="36" t="str">
        <f>MID(紹介文入力シート!$A$17,26,1)</f>
        <v/>
      </c>
      <c r="H14" s="36" t="str">
        <f>MID(紹介文入力シート!$A$17,27,1)</f>
        <v/>
      </c>
      <c r="I14" s="36" t="str">
        <f>MID(紹介文入力シート!$A$17,28,1)</f>
        <v/>
      </c>
      <c r="J14" s="36" t="str">
        <f>MID(紹介文入力シート!$A$17,29,1)</f>
        <v/>
      </c>
      <c r="K14" s="36" t="str">
        <f>MID(紹介文入力シート!$A$17,30,1)</f>
        <v/>
      </c>
      <c r="L14" s="36" t="str">
        <f>MID(紹介文入力シート!$A$17,31,1)</f>
        <v/>
      </c>
      <c r="M14" s="36" t="str">
        <f>MID(紹介文入力シート!$A$17,32,1)</f>
        <v/>
      </c>
      <c r="N14" s="36" t="str">
        <f>MID(紹介文入力シート!$A$17,33,1)</f>
        <v/>
      </c>
      <c r="O14" s="36" t="str">
        <f>MID(紹介文入力シート!$A$17,34,1)</f>
        <v/>
      </c>
      <c r="P14" s="36" t="str">
        <f>MID(紹介文入力シート!$A$17,35,1)</f>
        <v/>
      </c>
      <c r="Q14" s="36" t="str">
        <f>MID(紹介文入力シート!$A$17,36,1)</f>
        <v/>
      </c>
      <c r="R14" s="36" t="str">
        <f>MID(紹介文入力シート!$A$17,37,1)</f>
        <v/>
      </c>
      <c r="S14" s="36" t="str">
        <f>MID(紹介文入力シート!$A$17,38,1)</f>
        <v/>
      </c>
      <c r="T14" s="36" t="str">
        <f>MID(紹介文入力シート!$A$17,39,1)</f>
        <v/>
      </c>
      <c r="U14" s="37" t="str">
        <f>MID(紹介文入力シート!$A$17,40,1)</f>
        <v/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7" ht="1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7" s="17" customFormat="1" ht="30" customHeight="1" x14ac:dyDescent="0.15">
      <c r="B16" s="35" t="str">
        <f>MID(紹介文入力シート!$A$17,41,1)</f>
        <v/>
      </c>
      <c r="C16" s="36" t="str">
        <f>MID(紹介文入力シート!$A$17,42,1)</f>
        <v/>
      </c>
      <c r="D16" s="36" t="str">
        <f>MID(紹介文入力シート!$A$17,43,1)</f>
        <v/>
      </c>
      <c r="E16" s="36" t="str">
        <f>MID(紹介文入力シート!$A$17,44,1)</f>
        <v/>
      </c>
      <c r="F16" s="36" t="str">
        <f>MID(紹介文入力シート!$A$17,45,1)</f>
        <v/>
      </c>
      <c r="G16" s="36" t="str">
        <f>MID(紹介文入力シート!$A$17,46,1)</f>
        <v/>
      </c>
      <c r="H16" s="36" t="str">
        <f>MID(紹介文入力シート!$A$17,47,1)</f>
        <v/>
      </c>
      <c r="I16" s="36" t="str">
        <f>MID(紹介文入力シート!$A$17,48,1)</f>
        <v/>
      </c>
      <c r="J16" s="36" t="str">
        <f>MID(紹介文入力シート!$A$17,49,1)</f>
        <v/>
      </c>
      <c r="K16" s="36" t="str">
        <f>MID(紹介文入力シート!$A$17,50,1)</f>
        <v/>
      </c>
      <c r="L16" s="36" t="str">
        <f>MID(紹介文入力シート!$A$17,51,1)</f>
        <v/>
      </c>
      <c r="M16" s="36" t="str">
        <f>MID(紹介文入力シート!$A$17,52,1)</f>
        <v/>
      </c>
      <c r="N16" s="36" t="str">
        <f>MID(紹介文入力シート!$A$17,53,1)</f>
        <v/>
      </c>
      <c r="O16" s="36" t="str">
        <f>MID(紹介文入力シート!$A$17,54,1)</f>
        <v/>
      </c>
      <c r="P16" s="36" t="str">
        <f>MID(紹介文入力シート!$A$17,55,1)</f>
        <v/>
      </c>
      <c r="Q16" s="36" t="str">
        <f>MID(紹介文入力シート!$A$17,56,1)</f>
        <v/>
      </c>
      <c r="R16" s="36" t="str">
        <f>MID(紹介文入力シート!$A$17,57,1)</f>
        <v/>
      </c>
      <c r="S16" s="36" t="str">
        <f>MID(紹介文入力シート!$A$17,58,1)</f>
        <v/>
      </c>
      <c r="T16" s="36" t="str">
        <f>MID(紹介文入力シート!$A$17,59,1)</f>
        <v/>
      </c>
      <c r="U16" s="37" t="str">
        <f>MID(紹介文入力シート!$A$17,60,1)</f>
        <v/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35" t="str">
        <f>MID(紹介文入力シート!$A$17,61,1)</f>
        <v/>
      </c>
      <c r="C18" s="36" t="str">
        <f>MID(紹介文入力シート!$A$17,62,1)</f>
        <v/>
      </c>
      <c r="D18" s="36" t="str">
        <f>MID(紹介文入力シート!$A$17,63,1)</f>
        <v/>
      </c>
      <c r="E18" s="36" t="str">
        <f>MID(紹介文入力シート!$A$17,64,1)</f>
        <v/>
      </c>
      <c r="F18" s="36" t="str">
        <f>MID(紹介文入力シート!$A$17,65,1)</f>
        <v/>
      </c>
      <c r="G18" s="36" t="str">
        <f>MID(紹介文入力シート!$A$17,66,1)</f>
        <v/>
      </c>
      <c r="H18" s="36" t="str">
        <f>MID(紹介文入力シート!$A$17,67,1)</f>
        <v/>
      </c>
      <c r="I18" s="36" t="str">
        <f>MID(紹介文入力シート!$A$17,68,1)</f>
        <v/>
      </c>
      <c r="J18" s="36" t="str">
        <f>MID(紹介文入力シート!$A$17,69,1)</f>
        <v/>
      </c>
      <c r="K18" s="36" t="str">
        <f>MID(紹介文入力シート!$A$17,70,1)</f>
        <v/>
      </c>
      <c r="L18" s="36" t="str">
        <f>MID(紹介文入力シート!$A$17,71,1)</f>
        <v/>
      </c>
      <c r="M18" s="36" t="str">
        <f>MID(紹介文入力シート!$A$17,72,1)</f>
        <v/>
      </c>
      <c r="N18" s="36" t="str">
        <f>MID(紹介文入力シート!$A$17,73,1)</f>
        <v/>
      </c>
      <c r="O18" s="36" t="str">
        <f>MID(紹介文入力シート!$A$17,74,1)</f>
        <v/>
      </c>
      <c r="P18" s="36" t="str">
        <f>MID(紹介文入力シート!$A$17,75,1)</f>
        <v/>
      </c>
      <c r="Q18" s="36" t="str">
        <f>MID(紹介文入力シート!$A$17,76,1)</f>
        <v/>
      </c>
      <c r="R18" s="36" t="str">
        <f>MID(紹介文入力シート!$A$17,77,1)</f>
        <v/>
      </c>
      <c r="S18" s="36" t="str">
        <f>MID(紹介文入力シート!$A$17,78,1)</f>
        <v/>
      </c>
      <c r="T18" s="36" t="str">
        <f>MID(紹介文入力シート!$A$17,79,1)</f>
        <v/>
      </c>
      <c r="U18" s="37" t="str">
        <f>MID(紹介文入力シート!$A$17,80,1)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35" t="str">
        <f>MID(紹介文入力シート!$A$17,81,1)</f>
        <v/>
      </c>
      <c r="C20" s="36" t="str">
        <f>MID(紹介文入力シート!$A$17,82,1)</f>
        <v/>
      </c>
      <c r="D20" s="36" t="str">
        <f>MID(紹介文入力シート!$A$17,83,1)</f>
        <v/>
      </c>
      <c r="E20" s="36" t="str">
        <f>MID(紹介文入力シート!$A$17,84,1)</f>
        <v/>
      </c>
      <c r="F20" s="36" t="str">
        <f>MID(紹介文入力シート!$A$17,85,1)</f>
        <v/>
      </c>
      <c r="G20" s="36" t="str">
        <f>MID(紹介文入力シート!$A$17,86,1)</f>
        <v/>
      </c>
      <c r="H20" s="36" t="str">
        <f>MID(紹介文入力シート!$A$17,87,1)</f>
        <v/>
      </c>
      <c r="I20" s="36" t="str">
        <f>MID(紹介文入力シート!$A$17,88,1)</f>
        <v/>
      </c>
      <c r="J20" s="36" t="str">
        <f>MID(紹介文入力シート!$A$17,89,1)</f>
        <v/>
      </c>
      <c r="K20" s="36" t="str">
        <f>MID(紹介文入力シート!$A$17,90,1)</f>
        <v/>
      </c>
      <c r="L20" s="36" t="str">
        <f>MID(紹介文入力シート!$A$17,91,1)</f>
        <v/>
      </c>
      <c r="M20" s="36" t="str">
        <f>MID(紹介文入力シート!$A$17,92,1)</f>
        <v/>
      </c>
      <c r="N20" s="36" t="str">
        <f>MID(紹介文入力シート!$A$17,93,1)</f>
        <v/>
      </c>
      <c r="O20" s="36" t="str">
        <f>MID(紹介文入力シート!$A$17,94,1)</f>
        <v/>
      </c>
      <c r="P20" s="36" t="str">
        <f>MID(紹介文入力シート!$A$17,95,1)</f>
        <v/>
      </c>
      <c r="Q20" s="36" t="str">
        <f>MID(紹介文入力シート!$A$17,96,1)</f>
        <v/>
      </c>
      <c r="R20" s="36" t="str">
        <f>MID(紹介文入力シート!$A$17,97,1)</f>
        <v/>
      </c>
      <c r="S20" s="36" t="str">
        <f>MID(紹介文入力シート!$A$17,98,1)</f>
        <v/>
      </c>
      <c r="T20" s="36" t="str">
        <f>MID(紹介文入力シート!$A$17,99,1)</f>
        <v/>
      </c>
      <c r="U20" s="37" t="str">
        <f>MID(紹介文入力シート!$A$17,100,1)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ht="30" customHeight="1" x14ac:dyDescent="0.15">
      <c r="B22" s="35" t="str">
        <f>MID(紹介文入力シート!$A$17,101,1)</f>
        <v/>
      </c>
      <c r="C22" s="36" t="str">
        <f>MID(紹介文入力シート!$A$17,102,1)</f>
        <v/>
      </c>
      <c r="D22" s="36" t="str">
        <f>MID(紹介文入力シート!$A$17,103,1)</f>
        <v/>
      </c>
      <c r="E22" s="36" t="str">
        <f>MID(紹介文入力シート!$A$17,104,1)</f>
        <v/>
      </c>
      <c r="F22" s="36" t="str">
        <f>MID(紹介文入力シート!$A$17,105,1)</f>
        <v/>
      </c>
      <c r="G22" s="36" t="str">
        <f>MID(紹介文入力シート!$A$17,106,1)</f>
        <v/>
      </c>
      <c r="H22" s="36" t="str">
        <f>MID(紹介文入力シート!$A$17,107,1)</f>
        <v/>
      </c>
      <c r="I22" s="36" t="str">
        <f>MID(紹介文入力シート!$A$17,108,1)</f>
        <v/>
      </c>
      <c r="J22" s="36" t="str">
        <f>MID(紹介文入力シート!$A$17,109,1)</f>
        <v/>
      </c>
      <c r="K22" s="36" t="str">
        <f>MID(紹介文入力シート!$A$17,110,1)</f>
        <v/>
      </c>
      <c r="L22" s="36" t="str">
        <f>MID(紹介文入力シート!$A$17,111,1)</f>
        <v/>
      </c>
      <c r="M22" s="36" t="str">
        <f>MID(紹介文入力シート!$A$17,112,1)</f>
        <v/>
      </c>
      <c r="N22" s="36" t="str">
        <f>MID(紹介文入力シート!$A$17,113,1)</f>
        <v/>
      </c>
      <c r="O22" s="36" t="str">
        <f>MID(紹介文入力シート!$A$17,114,1)</f>
        <v/>
      </c>
      <c r="P22" s="36" t="str">
        <f>MID(紹介文入力シート!$A$17,115,1)</f>
        <v/>
      </c>
      <c r="Q22" s="36" t="str">
        <f>MID(紹介文入力シート!$A$17,116,1)</f>
        <v/>
      </c>
      <c r="R22" s="36" t="str">
        <f>MID(紹介文入力シート!$A$17,117,1)</f>
        <v/>
      </c>
      <c r="S22" s="36" t="str">
        <f>MID(紹介文入力シート!$A$17,118,1)</f>
        <v/>
      </c>
      <c r="T22" s="36" t="str">
        <f>MID(紹介文入力シート!$A$17,119,1)</f>
        <v/>
      </c>
      <c r="U22" s="37" t="str">
        <f>MID(紹介文入力シート!$A$17,120,1)</f>
        <v/>
      </c>
    </row>
    <row r="23" spans="2:36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ht="30" customHeight="1" x14ac:dyDescent="0.15">
      <c r="B24" s="35" t="str">
        <f>MID(紹介文入力シート!$A$17,121,1)</f>
        <v/>
      </c>
      <c r="C24" s="36" t="str">
        <f>MID(紹介文入力シート!$A$17,122,1)</f>
        <v/>
      </c>
      <c r="D24" s="36" t="str">
        <f>MID(紹介文入力シート!$A$17,123,1)</f>
        <v/>
      </c>
      <c r="E24" s="36" t="str">
        <f>MID(紹介文入力シート!$A$17,124,1)</f>
        <v/>
      </c>
      <c r="F24" s="36" t="str">
        <f>MID(紹介文入力シート!$A$17,125,1)</f>
        <v/>
      </c>
      <c r="G24" s="36" t="str">
        <f>MID(紹介文入力シート!$A$17,126,1)</f>
        <v/>
      </c>
      <c r="H24" s="36" t="str">
        <f>MID(紹介文入力シート!$A$17,127,1)</f>
        <v/>
      </c>
      <c r="I24" s="36" t="str">
        <f>MID(紹介文入力シート!$A$17,128,1)</f>
        <v/>
      </c>
      <c r="J24" s="36" t="str">
        <f>MID(紹介文入力シート!$A$17,129,1)</f>
        <v/>
      </c>
      <c r="K24" s="36" t="str">
        <f>MID(紹介文入力シート!$A$17,130,1)</f>
        <v/>
      </c>
      <c r="L24" s="36" t="str">
        <f>MID(紹介文入力シート!$A$17,131,1)</f>
        <v/>
      </c>
      <c r="M24" s="36" t="str">
        <f>MID(紹介文入力シート!$A$17,132,1)</f>
        <v/>
      </c>
      <c r="N24" s="36" t="str">
        <f>MID(紹介文入力シート!$A$17,133,1)</f>
        <v/>
      </c>
      <c r="O24" s="36" t="str">
        <f>MID(紹介文入力シート!$A$17,134,1)</f>
        <v/>
      </c>
      <c r="P24" s="36" t="str">
        <f>MID(紹介文入力シート!$A$17,135,1)</f>
        <v/>
      </c>
      <c r="Q24" s="36" t="str">
        <f>MID(紹介文入力シート!$A$17,136,1)</f>
        <v/>
      </c>
      <c r="R24" s="36" t="str">
        <f>MID(紹介文入力シート!$A$17,137,1)</f>
        <v/>
      </c>
      <c r="S24" s="36" t="str">
        <f>MID(紹介文入力シート!$A$17,138,1)</f>
        <v/>
      </c>
      <c r="T24" s="36" t="str">
        <f>MID(紹介文入力シート!$A$17,139,1)</f>
        <v/>
      </c>
      <c r="U24" s="37" t="str">
        <f>MID(紹介文入力シート!$A$17,140,1)</f>
        <v/>
      </c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ht="30" customHeight="1" x14ac:dyDescent="0.15">
      <c r="B26" s="35" t="str">
        <f>MID(紹介文入力シート!$A$17,141,1)</f>
        <v/>
      </c>
      <c r="C26" s="36" t="str">
        <f>MID(紹介文入力シート!$A$17,142,1)</f>
        <v/>
      </c>
      <c r="D26" s="36" t="str">
        <f>MID(紹介文入力シート!$A$17,143,1)</f>
        <v/>
      </c>
      <c r="E26" s="36" t="str">
        <f>MID(紹介文入力シート!$A$17,144,1)</f>
        <v/>
      </c>
      <c r="F26" s="36" t="str">
        <f>MID(紹介文入力シート!$A$17,145,1)</f>
        <v/>
      </c>
      <c r="G26" s="36" t="str">
        <f>MID(紹介文入力シート!$A$17,146,1)</f>
        <v/>
      </c>
      <c r="H26" s="36" t="str">
        <f>MID(紹介文入力シート!$A$17,147,1)</f>
        <v/>
      </c>
      <c r="I26" s="36" t="str">
        <f>MID(紹介文入力シート!$A$17,148,1)</f>
        <v/>
      </c>
      <c r="J26" s="36" t="str">
        <f>MID(紹介文入力シート!$A$17,149,1)</f>
        <v/>
      </c>
      <c r="K26" s="36" t="str">
        <f>MID(紹介文入力シート!$A$17,150,1)</f>
        <v/>
      </c>
      <c r="L26" s="36" t="str">
        <f>MID(紹介文入力シート!$A$17,151,1)</f>
        <v/>
      </c>
      <c r="M26" s="36" t="str">
        <f>MID(紹介文入力シート!$A$17,152,1)</f>
        <v/>
      </c>
      <c r="N26" s="36" t="str">
        <f>MID(紹介文入力シート!$A$17,153,1)</f>
        <v/>
      </c>
      <c r="O26" s="36" t="str">
        <f>MID(紹介文入力シート!$A$17,154,1)</f>
        <v/>
      </c>
      <c r="P26" s="36" t="str">
        <f>MID(紹介文入力シート!$A$17,155,1)</f>
        <v/>
      </c>
      <c r="Q26" s="36" t="str">
        <f>MID(紹介文入力シート!$A$17,156,1)</f>
        <v/>
      </c>
      <c r="R26" s="36" t="str">
        <f>MID(紹介文入力シート!$A$17,157,1)</f>
        <v/>
      </c>
      <c r="S26" s="36" t="str">
        <f>MID(紹介文入力シート!$A$17,158,1)</f>
        <v/>
      </c>
      <c r="T26" s="36" t="str">
        <f>MID(紹介文入力シート!$A$17,159,1)</f>
        <v/>
      </c>
      <c r="U26" s="37" t="str">
        <f>MID(紹介文入力シート!$A$17,160,1)</f>
        <v/>
      </c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35" t="str">
        <f>MID(紹介文入力シート!$A$17,161,1)</f>
        <v/>
      </c>
      <c r="C28" s="36" t="str">
        <f>MID(紹介文入力シート!$A$17,162,1)</f>
        <v/>
      </c>
      <c r="D28" s="36" t="str">
        <f>MID(紹介文入力シート!$A$17,163,1)</f>
        <v/>
      </c>
      <c r="E28" s="36" t="str">
        <f>MID(紹介文入力シート!$A$17,164,1)</f>
        <v/>
      </c>
      <c r="F28" s="36" t="str">
        <f>MID(紹介文入力シート!$A$17,165,1)</f>
        <v/>
      </c>
      <c r="G28" s="36" t="str">
        <f>MID(紹介文入力シート!$A$17,166,1)</f>
        <v/>
      </c>
      <c r="H28" s="36" t="str">
        <f>MID(紹介文入力シート!$A$17,167,1)</f>
        <v/>
      </c>
      <c r="I28" s="36" t="str">
        <f>MID(紹介文入力シート!$A$17,168,1)</f>
        <v/>
      </c>
      <c r="J28" s="36" t="str">
        <f>MID(紹介文入力シート!$A$17,169,1)</f>
        <v/>
      </c>
      <c r="K28" s="36" t="str">
        <f>MID(紹介文入力シート!$A$17,170,1)</f>
        <v/>
      </c>
      <c r="L28" s="36" t="str">
        <f>MID(紹介文入力シート!$A$17,171,1)</f>
        <v/>
      </c>
      <c r="M28" s="36" t="str">
        <f>MID(紹介文入力シート!$A$17,172,1)</f>
        <v/>
      </c>
      <c r="N28" s="36" t="str">
        <f>MID(紹介文入力シート!$A$17,173,1)</f>
        <v/>
      </c>
      <c r="O28" s="36" t="str">
        <f>MID(紹介文入力シート!$A$17,174,1)</f>
        <v/>
      </c>
      <c r="P28" s="36" t="str">
        <f>MID(紹介文入力シート!$A$17,175,1)</f>
        <v/>
      </c>
      <c r="Q28" s="36" t="str">
        <f>MID(紹介文入力シート!$A$17,176,1)</f>
        <v/>
      </c>
      <c r="R28" s="36" t="str">
        <f>MID(紹介文入力シート!$A$17,177,1)</f>
        <v/>
      </c>
      <c r="S28" s="36" t="str">
        <f>MID(紹介文入力シート!$A$17,178,1)</f>
        <v/>
      </c>
      <c r="T28" s="36" t="str">
        <f>MID(紹介文入力シート!$A$17,179,1)</f>
        <v/>
      </c>
      <c r="U28" s="37" t="str">
        <f>MID(紹介文入力シート!$A$17,180,1)</f>
        <v/>
      </c>
    </row>
    <row r="29" spans="2:36" ht="15" customHeight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35" t="str">
        <f>MID(紹介文入力シート!$A$17,181,1)</f>
        <v/>
      </c>
      <c r="C30" s="36" t="str">
        <f>MID(紹介文入力シート!$A$17,182,1)</f>
        <v/>
      </c>
      <c r="D30" s="36" t="str">
        <f>MID(紹介文入力シート!$A$17,183,1)</f>
        <v/>
      </c>
      <c r="E30" s="36" t="str">
        <f>MID(紹介文入力シート!$A$17,184,1)</f>
        <v/>
      </c>
      <c r="F30" s="36" t="str">
        <f>MID(紹介文入力シート!$A$17,185,1)</f>
        <v/>
      </c>
      <c r="G30" s="36" t="str">
        <f>MID(紹介文入力シート!$A$17,186,1)</f>
        <v/>
      </c>
      <c r="H30" s="36" t="str">
        <f>MID(紹介文入力シート!$A$17,187,1)</f>
        <v/>
      </c>
      <c r="I30" s="36" t="str">
        <f>MID(紹介文入力シート!$A$17,188,1)</f>
        <v/>
      </c>
      <c r="J30" s="36" t="str">
        <f>MID(紹介文入力シート!$A$17,189,1)</f>
        <v/>
      </c>
      <c r="K30" s="36" t="str">
        <f>MID(紹介文入力シート!$A$17,190,1)</f>
        <v/>
      </c>
      <c r="L30" s="36" t="str">
        <f>MID(紹介文入力シート!$A$17,191,1)</f>
        <v/>
      </c>
      <c r="M30" s="36" t="str">
        <f>MID(紹介文入力シート!$A$17,192,1)</f>
        <v/>
      </c>
      <c r="N30" s="36" t="str">
        <f>MID(紹介文入力シート!$A$17,193,1)</f>
        <v/>
      </c>
      <c r="O30" s="36" t="str">
        <f>MID(紹介文入力シート!$A$17,194,1)</f>
        <v/>
      </c>
      <c r="P30" s="36" t="str">
        <f>MID(紹介文入力シート!$A$17,195,1)</f>
        <v/>
      </c>
      <c r="Q30" s="36" t="str">
        <f>MID(紹介文入力シート!$A$17,196,1)</f>
        <v/>
      </c>
      <c r="R30" s="36" t="str">
        <f>MID(紹介文入力シート!$A$17,197,1)</f>
        <v/>
      </c>
      <c r="S30" s="36" t="str">
        <f>MID(紹介文入力シート!$A$17,198,1)</f>
        <v/>
      </c>
      <c r="T30" s="36" t="str">
        <f>MID(紹介文入力シート!$A$17,199,1)</f>
        <v/>
      </c>
      <c r="U30" s="37" t="str">
        <f>MID(紹介文入力シート!$A$17,200,1)</f>
        <v/>
      </c>
      <c r="V30" s="44" t="s">
        <v>34</v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thickBot="1" x14ac:dyDescent="0.2">
      <c r="B32" s="38" t="str">
        <f>MID(紹介文入力シート!$A$17,201,1)</f>
        <v/>
      </c>
      <c r="C32" s="39" t="str">
        <f>MID(紹介文入力シート!$A$17,202,1)</f>
        <v/>
      </c>
      <c r="D32" s="39" t="str">
        <f>MID(紹介文入力シート!$A$17,203,1)</f>
        <v/>
      </c>
      <c r="E32" s="39" t="str">
        <f>MID(紹介文入力シート!$A$17,204,1)</f>
        <v/>
      </c>
      <c r="F32" s="39" t="str">
        <f>MID(紹介文入力シート!$A$17,205,1)</f>
        <v/>
      </c>
      <c r="G32" s="39" t="str">
        <f>MID(紹介文入力シート!$A$17,206,1)</f>
        <v/>
      </c>
      <c r="H32" s="39" t="str">
        <f>MID(紹介文入力シート!$A$17,207,1)</f>
        <v/>
      </c>
      <c r="I32" s="39" t="str">
        <f>MID(紹介文入力シート!$A$17,208,1)</f>
        <v/>
      </c>
      <c r="J32" s="39" t="str">
        <f>MID(紹介文入力シート!$A$17,209,1)</f>
        <v/>
      </c>
      <c r="K32" s="39" t="str">
        <f>MID(紹介文入力シート!$A$17,220,1)</f>
        <v/>
      </c>
      <c r="L32" s="39" t="str">
        <f>MID(紹介文入力シート!$A$17,221,1)</f>
        <v/>
      </c>
      <c r="M32" s="39" t="str">
        <f>MID(紹介文入力シート!$A$17,222,1)</f>
        <v/>
      </c>
      <c r="N32" s="39" t="str">
        <f>MID(紹介文入力シート!$A$17,223,1)</f>
        <v/>
      </c>
      <c r="O32" s="39" t="str">
        <f>MID(紹介文入力シート!$A$17,224,1)</f>
        <v/>
      </c>
      <c r="P32" s="39" t="str">
        <f>MID(紹介文入力シート!$A$17,225,1)</f>
        <v/>
      </c>
      <c r="Q32" s="39" t="str">
        <f>MID(紹介文入力シート!$A$17,226,1)</f>
        <v/>
      </c>
      <c r="R32" s="39" t="str">
        <f>MID(紹介文入力シート!$A$17,227,1)</f>
        <v/>
      </c>
      <c r="S32" s="39" t="str">
        <f>MID(紹介文入力シート!$A$17,228,1)</f>
        <v/>
      </c>
      <c r="T32" s="39" t="str">
        <f>MID(紹介文入力シート!$A$17,229,1)</f>
        <v/>
      </c>
      <c r="U32" s="40" t="str">
        <f>MID(紹介文入力シート!$A$17,230,1)</f>
        <v/>
      </c>
    </row>
    <row r="33" spans="2:21" x14ac:dyDescent="0.1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</sheetData>
  <mergeCells count="20">
    <mergeCell ref="B2:U2"/>
    <mergeCell ref="P4:Q4"/>
    <mergeCell ref="M4:O4"/>
    <mergeCell ref="K4:L4"/>
    <mergeCell ref="D1:T1"/>
    <mergeCell ref="B8:C8"/>
    <mergeCell ref="B5:C5"/>
    <mergeCell ref="R4:T4"/>
    <mergeCell ref="B6:C6"/>
    <mergeCell ref="L5:M6"/>
    <mergeCell ref="D5:K5"/>
    <mergeCell ref="D6:K6"/>
    <mergeCell ref="N5:T6"/>
    <mergeCell ref="B4:C4"/>
    <mergeCell ref="D4:F4"/>
    <mergeCell ref="D8:K8"/>
    <mergeCell ref="L8:T8"/>
    <mergeCell ref="B7:C7"/>
    <mergeCell ref="L7:T7"/>
    <mergeCell ref="D7:K7"/>
  </mergeCells>
  <phoneticPr fontId="1"/>
  <conditionalFormatting sqref="M4:O4 D5:K8">
    <cfRule type="cellIs" dxfId="1" priority="1" operator="equal">
      <formula>0</formula>
    </cfRule>
  </conditionalFormatting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3"/>
  <sheetViews>
    <sheetView workbookViewId="0">
      <selection activeCell="L8" sqref="L8:T8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6" style="8" customWidth="1"/>
    <col min="23" max="23" width="16" style="8" customWidth="1"/>
    <col min="24" max="16384" width="9" style="8"/>
  </cols>
  <sheetData>
    <row r="1" spans="2:37" ht="14.25" x14ac:dyDescent="0.15">
      <c r="B1" s="146" t="s">
        <v>43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2:37" ht="21.75" customHeight="1" x14ac:dyDescent="0.15">
      <c r="B2" s="146" t="s">
        <v>35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</row>
    <row r="3" spans="2:37" ht="14.25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7" t="s">
        <v>25</v>
      </c>
      <c r="S3" s="9"/>
      <c r="T3" s="9"/>
      <c r="U3" s="9"/>
    </row>
    <row r="4" spans="2:37" ht="30" customHeight="1" thickBot="1" x14ac:dyDescent="0.2">
      <c r="B4" s="129"/>
      <c r="C4" s="129"/>
      <c r="D4" s="130"/>
      <c r="E4" s="130"/>
      <c r="F4" s="130"/>
      <c r="G4" s="32"/>
      <c r="H4" s="32"/>
      <c r="I4" s="32"/>
      <c r="J4" s="33"/>
      <c r="K4" s="145" t="s">
        <v>1</v>
      </c>
      <c r="L4" s="144"/>
      <c r="M4" s="144">
        <f>紹介文入力シート!F6</f>
        <v>0</v>
      </c>
      <c r="N4" s="144"/>
      <c r="O4" s="144"/>
      <c r="P4" s="143" t="s">
        <v>14</v>
      </c>
      <c r="Q4" s="143"/>
      <c r="R4" s="114"/>
      <c r="S4" s="114"/>
      <c r="T4" s="115"/>
      <c r="U4" s="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15" customHeight="1" x14ac:dyDescent="0.15">
      <c r="B5" s="112" t="s">
        <v>26</v>
      </c>
      <c r="C5" s="113"/>
      <c r="D5" s="120">
        <f>紹介文入力シート!F8</f>
        <v>0</v>
      </c>
      <c r="E5" s="121"/>
      <c r="F5" s="121"/>
      <c r="G5" s="121"/>
      <c r="H5" s="121"/>
      <c r="I5" s="121"/>
      <c r="J5" s="121"/>
      <c r="K5" s="122"/>
      <c r="L5" s="118" t="s">
        <v>28</v>
      </c>
      <c r="M5" s="118"/>
      <c r="N5" s="125" t="str">
        <f>IF(紹介文入力シート!U9="","",紹介文入力シート!U9)</f>
        <v/>
      </c>
      <c r="O5" s="125"/>
      <c r="P5" s="125"/>
      <c r="Q5" s="125"/>
      <c r="R5" s="125"/>
      <c r="S5" s="125"/>
      <c r="T5" s="126"/>
      <c r="U5" s="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27" customHeight="1" thickBot="1" x14ac:dyDescent="0.2">
      <c r="B6" s="116" t="s">
        <v>27</v>
      </c>
      <c r="C6" s="117"/>
      <c r="D6" s="123">
        <f>紹介文入力シート!F9</f>
        <v>0</v>
      </c>
      <c r="E6" s="124"/>
      <c r="F6" s="124"/>
      <c r="G6" s="124"/>
      <c r="H6" s="124"/>
      <c r="I6" s="124"/>
      <c r="J6" s="124"/>
      <c r="K6" s="124"/>
      <c r="L6" s="119"/>
      <c r="M6" s="119"/>
      <c r="N6" s="127"/>
      <c r="O6" s="127"/>
      <c r="P6" s="127"/>
      <c r="Q6" s="127"/>
      <c r="R6" s="127"/>
      <c r="S6" s="127"/>
      <c r="T6" s="128"/>
      <c r="U6" s="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2:37" ht="17.25" customHeight="1" x14ac:dyDescent="0.15">
      <c r="B7" s="136" t="s">
        <v>16</v>
      </c>
      <c r="C7" s="137"/>
      <c r="D7" s="139">
        <f>紹介文入力シート!F11</f>
        <v>0</v>
      </c>
      <c r="E7" s="140"/>
      <c r="F7" s="140"/>
      <c r="G7" s="140"/>
      <c r="H7" s="140"/>
      <c r="I7" s="140"/>
      <c r="J7" s="140"/>
      <c r="K7" s="141"/>
      <c r="L7" s="138"/>
      <c r="M7" s="138"/>
      <c r="N7" s="138"/>
      <c r="O7" s="138"/>
      <c r="P7" s="138"/>
      <c r="Q7" s="138"/>
      <c r="R7" s="138"/>
      <c r="S7" s="138"/>
      <c r="T7" s="138"/>
      <c r="U7" s="22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28"/>
    </row>
    <row r="8" spans="2:37" ht="33.75" customHeight="1" thickBot="1" x14ac:dyDescent="0.2">
      <c r="B8" s="60" t="s">
        <v>19</v>
      </c>
      <c r="C8" s="61"/>
      <c r="D8" s="131">
        <f>紹介文入力シート!F12</f>
        <v>0</v>
      </c>
      <c r="E8" s="131"/>
      <c r="F8" s="131"/>
      <c r="G8" s="131"/>
      <c r="H8" s="131"/>
      <c r="I8" s="131"/>
      <c r="J8" s="131"/>
      <c r="K8" s="132"/>
      <c r="L8" s="133" t="str">
        <f>CONCATENATE(紹介文入力シート!V12,紹介文入力シート!Z12,紹介文入力シート!AA12,紹介文入力シート!AE12,紹介文入力シート!AF12)</f>
        <v/>
      </c>
      <c r="M8" s="134"/>
      <c r="N8" s="134"/>
      <c r="O8" s="134"/>
      <c r="P8" s="134"/>
      <c r="Q8" s="134"/>
      <c r="R8" s="134"/>
      <c r="S8" s="134"/>
      <c r="T8" s="135"/>
      <c r="U8" s="22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 t="s">
        <v>18</v>
      </c>
      <c r="AG8" s="30" t="s">
        <v>24</v>
      </c>
      <c r="AH8" s="30"/>
      <c r="AI8" s="30"/>
      <c r="AJ8" s="30"/>
      <c r="AK8" s="28"/>
    </row>
    <row r="9" spans="2:37" s="17" customFormat="1" ht="9.75" customHeight="1" x14ac:dyDescent="0.15">
      <c r="B9" s="48"/>
      <c r="C9" s="48"/>
      <c r="D9" s="49"/>
      <c r="E9" s="49"/>
      <c r="F9" s="49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6"/>
      <c r="S9" s="26"/>
      <c r="T9" s="9"/>
      <c r="U9" s="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s="17" customFormat="1" ht="14.25" thickBot="1" x14ac:dyDescent="0.2">
      <c r="B10" s="9" t="s">
        <v>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7" ht="1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7"/>
      <c r="W11" s="18" t="s">
        <v>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7" s="17" customFormat="1" ht="30" customHeight="1" x14ac:dyDescent="0.15">
      <c r="B12" s="35" t="str">
        <f>MID(紹介文入力シート!$A$17,1,1)</f>
        <v/>
      </c>
      <c r="C12" s="36" t="str">
        <f>MID(紹介文入力シート!$A$17,2,1)</f>
        <v/>
      </c>
      <c r="D12" s="36" t="str">
        <f>MID(紹介文入力シート!$A$17,3,1)</f>
        <v/>
      </c>
      <c r="E12" s="36" t="str">
        <f>MID(紹介文入力シート!$A$17,4,1)</f>
        <v/>
      </c>
      <c r="F12" s="36" t="str">
        <f>MID(紹介文入力シート!$A$17,5,1)</f>
        <v/>
      </c>
      <c r="G12" s="36" t="str">
        <f>MID(紹介文入力シート!$A$17,6,1)</f>
        <v/>
      </c>
      <c r="H12" s="36" t="str">
        <f>MID(紹介文入力シート!$A$17,7,1)</f>
        <v/>
      </c>
      <c r="I12" s="36" t="str">
        <f>MID(紹介文入力シート!$A$17,8,1)</f>
        <v/>
      </c>
      <c r="J12" s="36" t="str">
        <f>MID(紹介文入力シート!$A$17,9,1)</f>
        <v/>
      </c>
      <c r="K12" s="36" t="str">
        <f>MID(紹介文入力シート!$A$17,10,1)</f>
        <v/>
      </c>
      <c r="L12" s="36" t="str">
        <f>MID(紹介文入力シート!$A$17,11,1)</f>
        <v/>
      </c>
      <c r="M12" s="36" t="str">
        <f>MID(紹介文入力シート!$A$17,12,1)</f>
        <v/>
      </c>
      <c r="N12" s="36" t="str">
        <f>MID(紹介文入力シート!$A$17,13,1)</f>
        <v/>
      </c>
      <c r="O12" s="36" t="str">
        <f>MID(紹介文入力シート!$A$17,14,1)</f>
        <v/>
      </c>
      <c r="P12" s="36" t="str">
        <f>MID(紹介文入力シート!$A$17,15,1)</f>
        <v/>
      </c>
      <c r="Q12" s="36" t="str">
        <f>MID(紹介文入力シート!$A$17,16,1)</f>
        <v/>
      </c>
      <c r="R12" s="36" t="str">
        <f>MID(紹介文入力シート!$A$17,17,1)</f>
        <v/>
      </c>
      <c r="S12" s="36" t="str">
        <f>MID(紹介文入力シート!$A$17,18,1)</f>
        <v/>
      </c>
      <c r="T12" s="36" t="str">
        <f>MID(紹介文入力シート!$A$17,19,1)</f>
        <v/>
      </c>
      <c r="U12" s="37" t="str">
        <f>MID(紹介文入力シート!$A$17,20,1)</f>
        <v/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2:37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7" s="17" customFormat="1" ht="30" customHeight="1" x14ac:dyDescent="0.15">
      <c r="B14" s="35" t="str">
        <f>MID(紹介文入力シート!$A$17,21,1)</f>
        <v/>
      </c>
      <c r="C14" s="36" t="str">
        <f>MID(紹介文入力シート!$A$17,22,1)</f>
        <v/>
      </c>
      <c r="D14" s="36" t="str">
        <f>MID(紹介文入力シート!$A$17,23,1)</f>
        <v/>
      </c>
      <c r="E14" s="36" t="str">
        <f>MID(紹介文入力シート!$A$17,24,1)</f>
        <v/>
      </c>
      <c r="F14" s="36" t="str">
        <f>MID(紹介文入力シート!$A$17,25,1)</f>
        <v/>
      </c>
      <c r="G14" s="36" t="str">
        <f>MID(紹介文入力シート!$A$17,26,1)</f>
        <v/>
      </c>
      <c r="H14" s="36" t="str">
        <f>MID(紹介文入力シート!$A$17,27,1)</f>
        <v/>
      </c>
      <c r="I14" s="36" t="str">
        <f>MID(紹介文入力シート!$A$17,28,1)</f>
        <v/>
      </c>
      <c r="J14" s="36" t="str">
        <f>MID(紹介文入力シート!$A$17,29,1)</f>
        <v/>
      </c>
      <c r="K14" s="36" t="str">
        <f>MID(紹介文入力シート!$A$17,30,1)</f>
        <v/>
      </c>
      <c r="L14" s="36" t="str">
        <f>MID(紹介文入力シート!$A$17,31,1)</f>
        <v/>
      </c>
      <c r="M14" s="36" t="str">
        <f>MID(紹介文入力シート!$A$17,32,1)</f>
        <v/>
      </c>
      <c r="N14" s="36" t="str">
        <f>MID(紹介文入力シート!$A$17,33,1)</f>
        <v/>
      </c>
      <c r="O14" s="36" t="str">
        <f>MID(紹介文入力シート!$A$17,34,1)</f>
        <v/>
      </c>
      <c r="P14" s="36" t="str">
        <f>MID(紹介文入力シート!$A$17,35,1)</f>
        <v/>
      </c>
      <c r="Q14" s="36" t="str">
        <f>MID(紹介文入力シート!$A$17,36,1)</f>
        <v/>
      </c>
      <c r="R14" s="36" t="str">
        <f>MID(紹介文入力シート!$A$17,37,1)</f>
        <v/>
      </c>
      <c r="S14" s="36" t="str">
        <f>MID(紹介文入力シート!$A$17,38,1)</f>
        <v/>
      </c>
      <c r="T14" s="36" t="str">
        <f>MID(紹介文入力シート!$A$17,39,1)</f>
        <v/>
      </c>
      <c r="U14" s="37" t="str">
        <f>MID(紹介文入力シート!$A$17,40,1)</f>
        <v/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7" ht="1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7" s="17" customFormat="1" ht="30" customHeight="1" x14ac:dyDescent="0.15">
      <c r="B16" s="35" t="str">
        <f>MID(紹介文入力シート!$A$17,41,1)</f>
        <v/>
      </c>
      <c r="C16" s="36" t="str">
        <f>MID(紹介文入力シート!$A$17,42,1)</f>
        <v/>
      </c>
      <c r="D16" s="36" t="str">
        <f>MID(紹介文入力シート!$A$17,43,1)</f>
        <v/>
      </c>
      <c r="E16" s="36" t="str">
        <f>MID(紹介文入力シート!$A$17,44,1)</f>
        <v/>
      </c>
      <c r="F16" s="36" t="str">
        <f>MID(紹介文入力シート!$A$17,45,1)</f>
        <v/>
      </c>
      <c r="G16" s="36" t="str">
        <f>MID(紹介文入力シート!$A$17,46,1)</f>
        <v/>
      </c>
      <c r="H16" s="36" t="str">
        <f>MID(紹介文入力シート!$A$17,47,1)</f>
        <v/>
      </c>
      <c r="I16" s="36" t="str">
        <f>MID(紹介文入力シート!$A$17,48,1)</f>
        <v/>
      </c>
      <c r="J16" s="36" t="str">
        <f>MID(紹介文入力シート!$A$17,49,1)</f>
        <v/>
      </c>
      <c r="K16" s="36" t="str">
        <f>MID(紹介文入力シート!$A$17,50,1)</f>
        <v/>
      </c>
      <c r="L16" s="36" t="str">
        <f>MID(紹介文入力シート!$A$17,51,1)</f>
        <v/>
      </c>
      <c r="M16" s="36" t="str">
        <f>MID(紹介文入力シート!$A$17,52,1)</f>
        <v/>
      </c>
      <c r="N16" s="36" t="str">
        <f>MID(紹介文入力シート!$A$17,53,1)</f>
        <v/>
      </c>
      <c r="O16" s="36" t="str">
        <f>MID(紹介文入力シート!$A$17,54,1)</f>
        <v/>
      </c>
      <c r="P16" s="36" t="str">
        <f>MID(紹介文入力シート!$A$17,55,1)</f>
        <v/>
      </c>
      <c r="Q16" s="36" t="str">
        <f>MID(紹介文入力シート!$A$17,56,1)</f>
        <v/>
      </c>
      <c r="R16" s="36" t="str">
        <f>MID(紹介文入力シート!$A$17,57,1)</f>
        <v/>
      </c>
      <c r="S16" s="36" t="str">
        <f>MID(紹介文入力シート!$A$17,58,1)</f>
        <v/>
      </c>
      <c r="T16" s="36" t="str">
        <f>MID(紹介文入力シート!$A$17,59,1)</f>
        <v/>
      </c>
      <c r="U16" s="37" t="str">
        <f>MID(紹介文入力シート!$A$17,60,1)</f>
        <v/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35" t="str">
        <f>MID(紹介文入力シート!$A$17,61,1)</f>
        <v/>
      </c>
      <c r="C18" s="36" t="str">
        <f>MID(紹介文入力シート!$A$17,62,1)</f>
        <v/>
      </c>
      <c r="D18" s="36" t="str">
        <f>MID(紹介文入力シート!$A$17,63,1)</f>
        <v/>
      </c>
      <c r="E18" s="36" t="str">
        <f>MID(紹介文入力シート!$A$17,64,1)</f>
        <v/>
      </c>
      <c r="F18" s="36" t="str">
        <f>MID(紹介文入力シート!$A$17,65,1)</f>
        <v/>
      </c>
      <c r="G18" s="36" t="str">
        <f>MID(紹介文入力シート!$A$17,66,1)</f>
        <v/>
      </c>
      <c r="H18" s="36" t="str">
        <f>MID(紹介文入力シート!$A$17,67,1)</f>
        <v/>
      </c>
      <c r="I18" s="36" t="str">
        <f>MID(紹介文入力シート!$A$17,68,1)</f>
        <v/>
      </c>
      <c r="J18" s="36" t="str">
        <f>MID(紹介文入力シート!$A$17,69,1)</f>
        <v/>
      </c>
      <c r="K18" s="36" t="str">
        <f>MID(紹介文入力シート!$A$17,70,1)</f>
        <v/>
      </c>
      <c r="L18" s="36" t="str">
        <f>MID(紹介文入力シート!$A$17,71,1)</f>
        <v/>
      </c>
      <c r="M18" s="36" t="str">
        <f>MID(紹介文入力シート!$A$17,72,1)</f>
        <v/>
      </c>
      <c r="N18" s="36" t="str">
        <f>MID(紹介文入力シート!$A$17,73,1)</f>
        <v/>
      </c>
      <c r="O18" s="36" t="str">
        <f>MID(紹介文入力シート!$A$17,74,1)</f>
        <v/>
      </c>
      <c r="P18" s="36" t="str">
        <f>MID(紹介文入力シート!$A$17,75,1)</f>
        <v/>
      </c>
      <c r="Q18" s="36" t="str">
        <f>MID(紹介文入力シート!$A$17,76,1)</f>
        <v/>
      </c>
      <c r="R18" s="36" t="str">
        <f>MID(紹介文入力シート!$A$17,77,1)</f>
        <v/>
      </c>
      <c r="S18" s="36" t="str">
        <f>MID(紹介文入力シート!$A$17,78,1)</f>
        <v/>
      </c>
      <c r="T18" s="36" t="str">
        <f>MID(紹介文入力シート!$A$17,79,1)</f>
        <v/>
      </c>
      <c r="U18" s="37" t="str">
        <f>MID(紹介文入力シート!$A$17,80,1)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35" t="str">
        <f>MID(紹介文入力シート!$A$17,81,1)</f>
        <v/>
      </c>
      <c r="C20" s="36" t="str">
        <f>MID(紹介文入力シート!$A$17,82,1)</f>
        <v/>
      </c>
      <c r="D20" s="36" t="str">
        <f>MID(紹介文入力シート!$A$17,83,1)</f>
        <v/>
      </c>
      <c r="E20" s="36" t="str">
        <f>MID(紹介文入力シート!$A$17,84,1)</f>
        <v/>
      </c>
      <c r="F20" s="36" t="str">
        <f>MID(紹介文入力シート!$A$17,85,1)</f>
        <v/>
      </c>
      <c r="G20" s="36" t="str">
        <f>MID(紹介文入力シート!$A$17,86,1)</f>
        <v/>
      </c>
      <c r="H20" s="36" t="str">
        <f>MID(紹介文入力シート!$A$17,87,1)</f>
        <v/>
      </c>
      <c r="I20" s="36" t="str">
        <f>MID(紹介文入力シート!$A$17,88,1)</f>
        <v/>
      </c>
      <c r="J20" s="36" t="str">
        <f>MID(紹介文入力シート!$A$17,89,1)</f>
        <v/>
      </c>
      <c r="K20" s="36" t="str">
        <f>MID(紹介文入力シート!$A$17,90,1)</f>
        <v/>
      </c>
      <c r="L20" s="36" t="str">
        <f>MID(紹介文入力シート!$A$17,91,1)</f>
        <v/>
      </c>
      <c r="M20" s="36" t="str">
        <f>MID(紹介文入力シート!$A$17,92,1)</f>
        <v/>
      </c>
      <c r="N20" s="36" t="str">
        <f>MID(紹介文入力シート!$A$17,93,1)</f>
        <v/>
      </c>
      <c r="O20" s="36" t="str">
        <f>MID(紹介文入力シート!$A$17,94,1)</f>
        <v/>
      </c>
      <c r="P20" s="36" t="str">
        <f>MID(紹介文入力シート!$A$17,95,1)</f>
        <v/>
      </c>
      <c r="Q20" s="36" t="str">
        <f>MID(紹介文入力シート!$A$17,96,1)</f>
        <v/>
      </c>
      <c r="R20" s="36" t="str">
        <f>MID(紹介文入力シート!$A$17,97,1)</f>
        <v/>
      </c>
      <c r="S20" s="36" t="str">
        <f>MID(紹介文入力シート!$A$17,98,1)</f>
        <v/>
      </c>
      <c r="T20" s="36" t="str">
        <f>MID(紹介文入力シート!$A$17,99,1)</f>
        <v/>
      </c>
      <c r="U20" s="37" t="str">
        <f>MID(紹介文入力シート!$A$17,100,1)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ht="30" customHeight="1" x14ac:dyDescent="0.15">
      <c r="B22" s="35" t="str">
        <f>MID(紹介文入力シート!$A$17,101,1)</f>
        <v/>
      </c>
      <c r="C22" s="36" t="str">
        <f>MID(紹介文入力シート!$A$17,102,1)</f>
        <v/>
      </c>
      <c r="D22" s="36" t="str">
        <f>MID(紹介文入力シート!$A$17,103,1)</f>
        <v/>
      </c>
      <c r="E22" s="36" t="str">
        <f>MID(紹介文入力シート!$A$17,104,1)</f>
        <v/>
      </c>
      <c r="F22" s="36" t="str">
        <f>MID(紹介文入力シート!$A$17,105,1)</f>
        <v/>
      </c>
      <c r="G22" s="36" t="str">
        <f>MID(紹介文入力シート!$A$17,106,1)</f>
        <v/>
      </c>
      <c r="H22" s="36" t="str">
        <f>MID(紹介文入力シート!$A$17,107,1)</f>
        <v/>
      </c>
      <c r="I22" s="36" t="str">
        <f>MID(紹介文入力シート!$A$17,108,1)</f>
        <v/>
      </c>
      <c r="J22" s="36" t="str">
        <f>MID(紹介文入力シート!$A$17,109,1)</f>
        <v/>
      </c>
      <c r="K22" s="36" t="str">
        <f>MID(紹介文入力シート!$A$17,110,1)</f>
        <v/>
      </c>
      <c r="L22" s="36" t="str">
        <f>MID(紹介文入力シート!$A$17,111,1)</f>
        <v/>
      </c>
      <c r="M22" s="36" t="str">
        <f>MID(紹介文入力シート!$A$17,112,1)</f>
        <v/>
      </c>
      <c r="N22" s="36" t="str">
        <f>MID(紹介文入力シート!$A$17,113,1)</f>
        <v/>
      </c>
      <c r="O22" s="36" t="str">
        <f>MID(紹介文入力シート!$A$17,114,1)</f>
        <v/>
      </c>
      <c r="P22" s="36" t="str">
        <f>MID(紹介文入力シート!$A$17,115,1)</f>
        <v/>
      </c>
      <c r="Q22" s="36" t="str">
        <f>MID(紹介文入力シート!$A$17,116,1)</f>
        <v/>
      </c>
      <c r="R22" s="36" t="str">
        <f>MID(紹介文入力シート!$A$17,117,1)</f>
        <v/>
      </c>
      <c r="S22" s="36" t="str">
        <f>MID(紹介文入力シート!$A$17,118,1)</f>
        <v/>
      </c>
      <c r="T22" s="36" t="str">
        <f>MID(紹介文入力シート!$A$17,119,1)</f>
        <v/>
      </c>
      <c r="U22" s="37" t="str">
        <f>MID(紹介文入力シート!$A$17,120,1)</f>
        <v/>
      </c>
    </row>
    <row r="23" spans="2:36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ht="30" customHeight="1" x14ac:dyDescent="0.15">
      <c r="B24" s="35" t="str">
        <f>MID(紹介文入力シート!$A$17,121,1)</f>
        <v/>
      </c>
      <c r="C24" s="36" t="str">
        <f>MID(紹介文入力シート!$A$17,122,1)</f>
        <v/>
      </c>
      <c r="D24" s="36" t="str">
        <f>MID(紹介文入力シート!$A$17,123,1)</f>
        <v/>
      </c>
      <c r="E24" s="36" t="str">
        <f>MID(紹介文入力シート!$A$17,124,1)</f>
        <v/>
      </c>
      <c r="F24" s="36" t="str">
        <f>MID(紹介文入力シート!$A$17,125,1)</f>
        <v/>
      </c>
      <c r="G24" s="36" t="str">
        <f>MID(紹介文入力シート!$A$17,126,1)</f>
        <v/>
      </c>
      <c r="H24" s="36" t="str">
        <f>MID(紹介文入力シート!$A$17,127,1)</f>
        <v/>
      </c>
      <c r="I24" s="36" t="str">
        <f>MID(紹介文入力シート!$A$17,128,1)</f>
        <v/>
      </c>
      <c r="J24" s="36" t="str">
        <f>MID(紹介文入力シート!$A$17,129,1)</f>
        <v/>
      </c>
      <c r="K24" s="36" t="str">
        <f>MID(紹介文入力シート!$A$17,130,1)</f>
        <v/>
      </c>
      <c r="L24" s="36" t="str">
        <f>MID(紹介文入力シート!$A$17,131,1)</f>
        <v/>
      </c>
      <c r="M24" s="36" t="str">
        <f>MID(紹介文入力シート!$A$17,132,1)</f>
        <v/>
      </c>
      <c r="N24" s="36" t="str">
        <f>MID(紹介文入力シート!$A$17,133,1)</f>
        <v/>
      </c>
      <c r="O24" s="36" t="str">
        <f>MID(紹介文入力シート!$A$17,134,1)</f>
        <v/>
      </c>
      <c r="P24" s="36" t="str">
        <f>MID(紹介文入力シート!$A$17,135,1)</f>
        <v/>
      </c>
      <c r="Q24" s="36" t="str">
        <f>MID(紹介文入力シート!$A$17,136,1)</f>
        <v/>
      </c>
      <c r="R24" s="36" t="str">
        <f>MID(紹介文入力シート!$A$17,137,1)</f>
        <v/>
      </c>
      <c r="S24" s="36" t="str">
        <f>MID(紹介文入力シート!$A$17,138,1)</f>
        <v/>
      </c>
      <c r="T24" s="36" t="str">
        <f>MID(紹介文入力シート!$A$17,139,1)</f>
        <v/>
      </c>
      <c r="U24" s="37" t="str">
        <f>MID(紹介文入力シート!$A$17,140,1)</f>
        <v/>
      </c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ht="30" customHeight="1" x14ac:dyDescent="0.15">
      <c r="B26" s="35" t="str">
        <f>MID(紹介文入力シート!$A$17,141,1)</f>
        <v/>
      </c>
      <c r="C26" s="36" t="str">
        <f>MID(紹介文入力シート!$A$17,142,1)</f>
        <v/>
      </c>
      <c r="D26" s="36" t="str">
        <f>MID(紹介文入力シート!$A$17,143,1)</f>
        <v/>
      </c>
      <c r="E26" s="36" t="str">
        <f>MID(紹介文入力シート!$A$17,144,1)</f>
        <v/>
      </c>
      <c r="F26" s="36" t="str">
        <f>MID(紹介文入力シート!$A$17,145,1)</f>
        <v/>
      </c>
      <c r="G26" s="36" t="str">
        <f>MID(紹介文入力シート!$A$17,146,1)</f>
        <v/>
      </c>
      <c r="H26" s="36" t="str">
        <f>MID(紹介文入力シート!$A$17,147,1)</f>
        <v/>
      </c>
      <c r="I26" s="36" t="str">
        <f>MID(紹介文入力シート!$A$17,148,1)</f>
        <v/>
      </c>
      <c r="J26" s="36" t="str">
        <f>MID(紹介文入力シート!$A$17,149,1)</f>
        <v/>
      </c>
      <c r="K26" s="36" t="str">
        <f>MID(紹介文入力シート!$A$17,150,1)</f>
        <v/>
      </c>
      <c r="L26" s="36" t="str">
        <f>MID(紹介文入力シート!$A$17,151,1)</f>
        <v/>
      </c>
      <c r="M26" s="36" t="str">
        <f>MID(紹介文入力シート!$A$17,152,1)</f>
        <v/>
      </c>
      <c r="N26" s="36" t="str">
        <f>MID(紹介文入力シート!$A$17,153,1)</f>
        <v/>
      </c>
      <c r="O26" s="36" t="str">
        <f>MID(紹介文入力シート!$A$17,154,1)</f>
        <v/>
      </c>
      <c r="P26" s="36" t="str">
        <f>MID(紹介文入力シート!$A$17,155,1)</f>
        <v/>
      </c>
      <c r="Q26" s="36" t="str">
        <f>MID(紹介文入力シート!$A$17,156,1)</f>
        <v/>
      </c>
      <c r="R26" s="36" t="str">
        <f>MID(紹介文入力シート!$A$17,157,1)</f>
        <v/>
      </c>
      <c r="S26" s="36" t="str">
        <f>MID(紹介文入力シート!$A$17,158,1)</f>
        <v/>
      </c>
      <c r="T26" s="36" t="str">
        <f>MID(紹介文入力シート!$A$17,159,1)</f>
        <v/>
      </c>
      <c r="U26" s="37" t="str">
        <f>MID(紹介文入力シート!$A$17,160,1)</f>
        <v/>
      </c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35" t="str">
        <f>MID(紹介文入力シート!$A$17,161,1)</f>
        <v/>
      </c>
      <c r="C28" s="36" t="str">
        <f>MID(紹介文入力シート!$A$17,162,1)</f>
        <v/>
      </c>
      <c r="D28" s="36" t="str">
        <f>MID(紹介文入力シート!$A$17,163,1)</f>
        <v/>
      </c>
      <c r="E28" s="36" t="str">
        <f>MID(紹介文入力シート!$A$17,164,1)</f>
        <v/>
      </c>
      <c r="F28" s="36" t="str">
        <f>MID(紹介文入力シート!$A$17,165,1)</f>
        <v/>
      </c>
      <c r="G28" s="36" t="str">
        <f>MID(紹介文入力シート!$A$17,166,1)</f>
        <v/>
      </c>
      <c r="H28" s="36" t="str">
        <f>MID(紹介文入力シート!$A$17,167,1)</f>
        <v/>
      </c>
      <c r="I28" s="36" t="str">
        <f>MID(紹介文入力シート!$A$17,168,1)</f>
        <v/>
      </c>
      <c r="J28" s="36" t="str">
        <f>MID(紹介文入力シート!$A$17,169,1)</f>
        <v/>
      </c>
      <c r="K28" s="36" t="str">
        <f>MID(紹介文入力シート!$A$17,170,1)</f>
        <v/>
      </c>
      <c r="L28" s="36" t="str">
        <f>MID(紹介文入力シート!$A$17,171,1)</f>
        <v/>
      </c>
      <c r="M28" s="36" t="str">
        <f>MID(紹介文入力シート!$A$17,172,1)</f>
        <v/>
      </c>
      <c r="N28" s="36" t="str">
        <f>MID(紹介文入力シート!$A$17,173,1)</f>
        <v/>
      </c>
      <c r="O28" s="36" t="str">
        <f>MID(紹介文入力シート!$A$17,174,1)</f>
        <v/>
      </c>
      <c r="P28" s="36" t="str">
        <f>MID(紹介文入力シート!$A$17,175,1)</f>
        <v/>
      </c>
      <c r="Q28" s="36" t="str">
        <f>MID(紹介文入力シート!$A$17,176,1)</f>
        <v/>
      </c>
      <c r="R28" s="36" t="str">
        <f>MID(紹介文入力シート!$A$17,177,1)</f>
        <v/>
      </c>
      <c r="S28" s="36" t="str">
        <f>MID(紹介文入力シート!$A$17,178,1)</f>
        <v/>
      </c>
      <c r="T28" s="36" t="str">
        <f>MID(紹介文入力シート!$A$17,179,1)</f>
        <v/>
      </c>
      <c r="U28" s="37" t="str">
        <f>MID(紹介文入力シート!$A$17,180,1)</f>
        <v/>
      </c>
    </row>
    <row r="29" spans="2:36" ht="15" customHeight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35" t="str">
        <f>MID(紹介文入力シート!$A$17,181,1)</f>
        <v/>
      </c>
      <c r="C30" s="36" t="str">
        <f>MID(紹介文入力シート!$A$17,182,1)</f>
        <v/>
      </c>
      <c r="D30" s="36" t="str">
        <f>MID(紹介文入力シート!$A$17,183,1)</f>
        <v/>
      </c>
      <c r="E30" s="36" t="str">
        <f>MID(紹介文入力シート!$A$17,184,1)</f>
        <v/>
      </c>
      <c r="F30" s="36" t="str">
        <f>MID(紹介文入力シート!$A$17,185,1)</f>
        <v/>
      </c>
      <c r="G30" s="36" t="str">
        <f>MID(紹介文入力シート!$A$17,186,1)</f>
        <v/>
      </c>
      <c r="H30" s="36" t="str">
        <f>MID(紹介文入力シート!$A$17,187,1)</f>
        <v/>
      </c>
      <c r="I30" s="36" t="str">
        <f>MID(紹介文入力シート!$A$17,188,1)</f>
        <v/>
      </c>
      <c r="J30" s="36" t="str">
        <f>MID(紹介文入力シート!$A$17,189,1)</f>
        <v/>
      </c>
      <c r="K30" s="36" t="str">
        <f>MID(紹介文入力シート!$A$17,190,1)</f>
        <v/>
      </c>
      <c r="L30" s="36" t="str">
        <f>MID(紹介文入力シート!$A$17,191,1)</f>
        <v/>
      </c>
      <c r="M30" s="36" t="str">
        <f>MID(紹介文入力シート!$A$17,192,1)</f>
        <v/>
      </c>
      <c r="N30" s="36" t="str">
        <f>MID(紹介文入力シート!$A$17,193,1)</f>
        <v/>
      </c>
      <c r="O30" s="36" t="str">
        <f>MID(紹介文入力シート!$A$17,194,1)</f>
        <v/>
      </c>
      <c r="P30" s="36" t="str">
        <f>MID(紹介文入力シート!$A$17,195,1)</f>
        <v/>
      </c>
      <c r="Q30" s="36" t="str">
        <f>MID(紹介文入力シート!$A$17,196,1)</f>
        <v/>
      </c>
      <c r="R30" s="36" t="str">
        <f>MID(紹介文入力シート!$A$17,197,1)</f>
        <v/>
      </c>
      <c r="S30" s="36" t="str">
        <f>MID(紹介文入力シート!$A$17,198,1)</f>
        <v/>
      </c>
      <c r="T30" s="36" t="str">
        <f>MID(紹介文入力シート!$A$17,199,1)</f>
        <v/>
      </c>
      <c r="U30" s="37" t="str">
        <f>MID(紹介文入力シート!$A$17,200,1)</f>
        <v/>
      </c>
      <c r="V30" s="44" t="s">
        <v>34</v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thickBot="1" x14ac:dyDescent="0.2">
      <c r="B32" s="38" t="str">
        <f>MID(紹介文入力シート!$A$17,201,1)</f>
        <v/>
      </c>
      <c r="C32" s="39" t="str">
        <f>MID(紹介文入力シート!$A$17,202,1)</f>
        <v/>
      </c>
      <c r="D32" s="39" t="str">
        <f>MID(紹介文入力シート!$A$17,203,1)</f>
        <v/>
      </c>
      <c r="E32" s="39" t="str">
        <f>MID(紹介文入力シート!$A$17,204,1)</f>
        <v/>
      </c>
      <c r="F32" s="39" t="str">
        <f>MID(紹介文入力シート!$A$17,205,1)</f>
        <v/>
      </c>
      <c r="G32" s="39" t="str">
        <f>MID(紹介文入力シート!$A$17,206,1)</f>
        <v/>
      </c>
      <c r="H32" s="39" t="str">
        <f>MID(紹介文入力シート!$A$17,207,1)</f>
        <v/>
      </c>
      <c r="I32" s="39" t="str">
        <f>MID(紹介文入力シート!$A$17,208,1)</f>
        <v/>
      </c>
      <c r="J32" s="39" t="str">
        <f>MID(紹介文入力シート!$A$17,209,1)</f>
        <v/>
      </c>
      <c r="K32" s="39" t="str">
        <f>MID(紹介文入力シート!$A$17,220,1)</f>
        <v/>
      </c>
      <c r="L32" s="39" t="str">
        <f>MID(紹介文入力シート!$A$17,221,1)</f>
        <v/>
      </c>
      <c r="M32" s="39" t="str">
        <f>MID(紹介文入力シート!$A$17,222,1)</f>
        <v/>
      </c>
      <c r="N32" s="39" t="str">
        <f>MID(紹介文入力シート!$A$17,223,1)</f>
        <v/>
      </c>
      <c r="O32" s="39" t="str">
        <f>MID(紹介文入力シート!$A$17,224,1)</f>
        <v/>
      </c>
      <c r="P32" s="39" t="str">
        <f>MID(紹介文入力シート!$A$17,225,1)</f>
        <v/>
      </c>
      <c r="Q32" s="39" t="str">
        <f>MID(紹介文入力シート!$A$17,226,1)</f>
        <v/>
      </c>
      <c r="R32" s="39" t="str">
        <f>MID(紹介文入力シート!$A$17,227,1)</f>
        <v/>
      </c>
      <c r="S32" s="39" t="str">
        <f>MID(紹介文入力シート!$A$17,228,1)</f>
        <v/>
      </c>
      <c r="T32" s="39" t="str">
        <f>MID(紹介文入力シート!$A$17,229,1)</f>
        <v/>
      </c>
      <c r="U32" s="40" t="str">
        <f>MID(紹介文入力シート!$A$17,230,1)</f>
        <v/>
      </c>
    </row>
    <row r="33" spans="2:21" x14ac:dyDescent="0.1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</sheetData>
  <mergeCells count="20">
    <mergeCell ref="B7:C7"/>
    <mergeCell ref="D7:K7"/>
    <mergeCell ref="L7:T7"/>
    <mergeCell ref="B8:C8"/>
    <mergeCell ref="D8:K8"/>
    <mergeCell ref="L8:T8"/>
    <mergeCell ref="B5:C5"/>
    <mergeCell ref="D5:K5"/>
    <mergeCell ref="L5:M6"/>
    <mergeCell ref="N5:T6"/>
    <mergeCell ref="B6:C6"/>
    <mergeCell ref="D6:K6"/>
    <mergeCell ref="B1:U1"/>
    <mergeCell ref="B2:U2"/>
    <mergeCell ref="B4:C4"/>
    <mergeCell ref="D4:F4"/>
    <mergeCell ref="K4:L4"/>
    <mergeCell ref="M4:O4"/>
    <mergeCell ref="P4:Q4"/>
    <mergeCell ref="R4:T4"/>
  </mergeCells>
  <phoneticPr fontId="18"/>
  <conditionalFormatting sqref="M4:O4 D5:K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紹介文入力シート</vt:lpstr>
      <vt:lpstr>印字シート</vt:lpstr>
      <vt:lpstr>バック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2017-04-27T13:15:20Z</cp:lastPrinted>
  <dcterms:created xsi:type="dcterms:W3CDTF">2009-12-06T00:44:31Z</dcterms:created>
  <dcterms:modified xsi:type="dcterms:W3CDTF">2017-04-27T13:15:31Z</dcterms:modified>
</cp:coreProperties>
</file>